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6F5B7DC-5BB4-4477-9AA8-877544DDCB68}" xr6:coauthVersionLast="46" xr6:coauthVersionMax="46" xr10:uidLastSave="{00000000-0000-0000-0000-000000000000}"/>
  <bookViews>
    <workbookView xWindow="-108" yWindow="-108" windowWidth="23256" windowHeight="12576" tabRatio="831" activeTab="1" xr2:uid="{00000000-000D-0000-FFFF-FFFF00000000}"/>
  </bookViews>
  <sheets>
    <sheet name="length and diameter" sheetId="1" r:id="rId1"/>
    <sheet name="porosity" sheetId="2" r:id="rId2"/>
    <sheet name="AL1 absolute perm @40" sheetId="3" r:id="rId3"/>
    <sheet name="AL 1 relative permeability @40" sheetId="4" r:id="rId4"/>
    <sheet name="AL 1 brine injection3rd" sheetId="5" r:id="rId5"/>
    <sheet name="AL 2 absolute perm@60" sheetId="6" r:id="rId6"/>
    <sheet name="AL2 relative perm @60" sheetId="7" r:id="rId7"/>
    <sheet name="AL2 brine injection" sheetId="9" r:id="rId8"/>
    <sheet name="AL3 Absolute perm @80" sheetId="12" r:id="rId9"/>
    <sheet name="AL3 relative perm @80" sheetId="13" r:id="rId10"/>
    <sheet name="AL3 brine injection" sheetId="15" r:id="rId11"/>
    <sheet name="Sheet1" sheetId="16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2" l="1"/>
  <c r="D4" i="12"/>
  <c r="D5" i="12"/>
  <c r="D6" i="12"/>
  <c r="D7" i="12"/>
  <c r="D9" i="12"/>
  <c r="D10" i="12"/>
  <c r="D11" i="12"/>
  <c r="D12" i="12"/>
  <c r="D13" i="12"/>
  <c r="D3" i="12"/>
  <c r="D8" i="6"/>
  <c r="D9" i="6"/>
  <c r="D4" i="6"/>
  <c r="D5" i="6"/>
  <c r="D6" i="6"/>
  <c r="D7" i="6"/>
  <c r="D10" i="6"/>
  <c r="D11" i="6"/>
  <c r="D12" i="6"/>
  <c r="D13" i="6"/>
  <c r="D14" i="6"/>
  <c r="D15" i="6"/>
  <c r="D3" i="6"/>
  <c r="G14" i="13" l="1"/>
  <c r="L2" i="13"/>
  <c r="L3" i="13"/>
  <c r="I2" i="12"/>
  <c r="K2" i="7"/>
  <c r="I3" i="12"/>
  <c r="J2" i="9"/>
  <c r="K3" i="7"/>
  <c r="H2" i="6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2" i="3"/>
  <c r="H3" i="6"/>
  <c r="K2" i="5"/>
  <c r="C13" i="5"/>
  <c r="F2" i="4"/>
  <c r="F3" i="4"/>
  <c r="K3" i="4"/>
  <c r="K2" i="4"/>
  <c r="L2" i="3" l="1"/>
  <c r="G6" i="2"/>
  <c r="G7" i="2"/>
  <c r="F6" i="2"/>
  <c r="F7" i="2"/>
  <c r="F4" i="2"/>
  <c r="F5" i="2"/>
  <c r="D6" i="2"/>
  <c r="D7" i="2"/>
  <c r="D4" i="2"/>
  <c r="F14" i="13" l="1"/>
  <c r="F15" i="13"/>
  <c r="F16" i="13"/>
  <c r="F17" i="13"/>
  <c r="G4" i="13"/>
  <c r="G5" i="13"/>
  <c r="G6" i="13"/>
  <c r="G7" i="13"/>
  <c r="G8" i="13"/>
  <c r="G9" i="13"/>
  <c r="G10" i="13"/>
  <c r="G11" i="13"/>
  <c r="G12" i="13"/>
  <c r="G13" i="13"/>
  <c r="G15" i="13"/>
  <c r="G16" i="13"/>
  <c r="G17" i="13"/>
  <c r="G3" i="13"/>
  <c r="L3" i="3"/>
  <c r="E13" i="15" l="1"/>
  <c r="E12" i="15"/>
  <c r="C11" i="15"/>
  <c r="A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3" i="15"/>
  <c r="D12" i="13" l="1"/>
  <c r="D11" i="13"/>
  <c r="D3" i="13"/>
  <c r="D4" i="13"/>
  <c r="D5" i="13"/>
  <c r="F5" i="13" s="1"/>
  <c r="D6" i="13"/>
  <c r="F6" i="13" s="1"/>
  <c r="D7" i="13"/>
  <c r="F7" i="13" s="1"/>
  <c r="D8" i="13"/>
  <c r="F8" i="13" s="1"/>
  <c r="D9" i="13"/>
  <c r="D10" i="13"/>
  <c r="F10" i="13" s="1"/>
  <c r="D2" i="13"/>
  <c r="A16" i="13"/>
  <c r="A17" i="13" s="1"/>
  <c r="A4" i="13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3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3" i="12"/>
  <c r="F4" i="13" l="1"/>
  <c r="F3" i="13"/>
  <c r="F11" i="13"/>
  <c r="F9" i="13"/>
  <c r="F12" i="13"/>
  <c r="C16" i="7"/>
  <c r="C10" i="9" l="1"/>
  <c r="C9" i="9"/>
  <c r="C8" i="9"/>
  <c r="C7" i="9"/>
  <c r="C6" i="9"/>
  <c r="C5" i="9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3" i="7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C4" i="9"/>
  <c r="G2" i="7"/>
  <c r="F20" i="7"/>
  <c r="F21" i="7"/>
  <c r="F22" i="7"/>
  <c r="F23" i="7"/>
  <c r="F2" i="9"/>
  <c r="A9" i="9"/>
  <c r="A10" i="9"/>
  <c r="A11" i="9"/>
  <c r="A12" i="9"/>
  <c r="A13" i="9"/>
  <c r="A14" i="9" s="1"/>
  <c r="A4" i="9"/>
  <c r="A5" i="9"/>
  <c r="A6" i="9"/>
  <c r="A7" i="9"/>
  <c r="A8" i="9"/>
  <c r="A3" i="9"/>
  <c r="G2" i="4" l="1"/>
  <c r="E23" i="7" l="1"/>
  <c r="E22" i="7"/>
  <c r="E21" i="7"/>
  <c r="E20" i="7"/>
  <c r="E19" i="7"/>
  <c r="E18" i="7"/>
  <c r="E17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3" i="7"/>
  <c r="G5" i="2" l="1"/>
  <c r="G3" i="2"/>
  <c r="F3" i="2"/>
  <c r="E5" i="2"/>
  <c r="D5" i="2"/>
  <c r="D3" i="2"/>
  <c r="F2" i="2" l="1"/>
  <c r="E2" i="2"/>
  <c r="D2" i="2"/>
  <c r="A4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3" i="6"/>
  <c r="C18" i="5" l="1"/>
  <c r="F18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2" i="5"/>
  <c r="C17" i="5"/>
  <c r="C16" i="5"/>
  <c r="C15" i="5" l="1"/>
  <c r="C14" i="5"/>
  <c r="C3" i="5"/>
  <c r="C4" i="5"/>
  <c r="C5" i="5"/>
  <c r="C6" i="5"/>
  <c r="C7" i="5"/>
  <c r="C8" i="5"/>
  <c r="C9" i="5"/>
  <c r="C10" i="5"/>
  <c r="C11" i="5"/>
  <c r="C12" i="5"/>
  <c r="C2" i="5"/>
  <c r="A4" i="5"/>
  <c r="A5" i="5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3" i="5"/>
  <c r="E40" i="4" l="1"/>
  <c r="E39" i="4"/>
  <c r="E38" i="4"/>
  <c r="E37" i="4"/>
  <c r="E36" i="4"/>
  <c r="E35" i="4"/>
  <c r="E34" i="4"/>
  <c r="E33" i="4"/>
  <c r="E32" i="4"/>
  <c r="A29" i="4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" i="4"/>
  <c r="A5" i="4"/>
  <c r="A6" i="4"/>
  <c r="A7" i="4"/>
  <c r="A8" i="4"/>
  <c r="A9" i="4"/>
  <c r="A10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3" i="4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3" i="3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3" i="3"/>
  <c r="E3" i="2" l="1"/>
  <c r="E4" i="2"/>
  <c r="G4" i="2" s="1"/>
  <c r="E6" i="2"/>
  <c r="E7" i="2"/>
  <c r="G2" i="2"/>
  <c r="M3" i="1" l="1"/>
  <c r="M4" i="1"/>
  <c r="M5" i="1"/>
  <c r="M6" i="1"/>
  <c r="M7" i="1"/>
  <c r="M2" i="1"/>
  <c r="E32" i="1"/>
  <c r="C32" i="1"/>
  <c r="E26" i="1"/>
  <c r="C26" i="1"/>
  <c r="E20" i="1"/>
  <c r="C20" i="1"/>
  <c r="E14" i="1"/>
  <c r="C14" i="1"/>
  <c r="C8" i="1"/>
  <c r="C2" i="1"/>
  <c r="E8" i="1"/>
  <c r="E2" i="1"/>
</calcChain>
</file>

<file path=xl/sharedStrings.xml><?xml version="1.0" encoding="utf-8"?>
<sst xmlns="http://schemas.openxmlformats.org/spreadsheetml/2006/main" count="141" uniqueCount="58">
  <si>
    <t>AL1</t>
  </si>
  <si>
    <t>Length</t>
  </si>
  <si>
    <t>Diameter</t>
  </si>
  <si>
    <t>Average</t>
  </si>
  <si>
    <t>AL2</t>
  </si>
  <si>
    <t>AL3</t>
  </si>
  <si>
    <t>`</t>
  </si>
  <si>
    <t>AL4</t>
  </si>
  <si>
    <t>AL5</t>
  </si>
  <si>
    <t>AL6</t>
  </si>
  <si>
    <t xml:space="preserve">Core sample </t>
  </si>
  <si>
    <t>average diameter (mm)</t>
  </si>
  <si>
    <t>Average Legth(mm)</t>
  </si>
  <si>
    <t>Section area(mm2)</t>
  </si>
  <si>
    <t>Sample</t>
  </si>
  <si>
    <t>Dry Weight(g)</t>
  </si>
  <si>
    <t>saturated weight (g)</t>
  </si>
  <si>
    <t>Pore volume(m3)</t>
  </si>
  <si>
    <t>Bulk Volume (m3)</t>
  </si>
  <si>
    <t>Weight difference (kg)</t>
  </si>
  <si>
    <t>Porosity</t>
  </si>
  <si>
    <t>time</t>
  </si>
  <si>
    <t>water (ml)</t>
  </si>
  <si>
    <t>press.(bar)</t>
  </si>
  <si>
    <t>rate(ml/10min)</t>
  </si>
  <si>
    <t>time(min)</t>
  </si>
  <si>
    <t>press(bar)</t>
  </si>
  <si>
    <t>isooctane</t>
  </si>
  <si>
    <t>total</t>
  </si>
  <si>
    <t>water(ml)</t>
  </si>
  <si>
    <t>relative permeability to isooctane</t>
  </si>
  <si>
    <t>mD</t>
  </si>
  <si>
    <t>m2</t>
  </si>
  <si>
    <t>brine</t>
  </si>
  <si>
    <t>weight before drying</t>
  </si>
  <si>
    <t>isooctane rate</t>
  </si>
  <si>
    <t>water rate (m3/s)</t>
  </si>
  <si>
    <t>Absolute permeability</t>
  </si>
  <si>
    <t>brine rate</t>
  </si>
  <si>
    <t>Relative perm.</t>
  </si>
  <si>
    <t>rate (ml/h)</t>
  </si>
  <si>
    <t xml:space="preserve"> Abs. Permeability</t>
  </si>
  <si>
    <t>relative perm</t>
  </si>
  <si>
    <t>RF(%)</t>
  </si>
  <si>
    <t>samples</t>
  </si>
  <si>
    <t>Al2</t>
  </si>
  <si>
    <t>Al3</t>
  </si>
  <si>
    <t>Krel(mD)</t>
  </si>
  <si>
    <t>RF (%)</t>
  </si>
  <si>
    <t>Kabs(mD)</t>
  </si>
  <si>
    <t>-</t>
  </si>
  <si>
    <t>time (min)</t>
  </si>
  <si>
    <t>time (mins)</t>
  </si>
  <si>
    <t>Samples</t>
  </si>
  <si>
    <t>Dry weight</t>
  </si>
  <si>
    <t>Wet weight</t>
  </si>
  <si>
    <t xml:space="preserve">Length </t>
  </si>
  <si>
    <t>Cross section 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</si>
</sst>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Fill="1" applyBorder="1"/>
    <xf numFmtId="0" fontId="0" fillId="2" borderId="0" xfId="0" applyFill="1"/>
    <xf numFmtId="0" fontId="0" fillId="2" borderId="1" xfId="0" applyFill="1" applyBorder="1"/>
    <xf numFmtId="0" fontId="0" fillId="0" borderId="0" xfId="0" applyFill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vs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pressure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'AL1 absolute perm @40'!$A$2:$A$16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'AL1 absolute perm @40'!$B$2:$B$16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5.5</c:v>
                </c:pt>
                <c:pt idx="7">
                  <c:v>5.5</c:v>
                </c:pt>
                <c:pt idx="8">
                  <c:v>5.5</c:v>
                </c:pt>
                <c:pt idx="9">
                  <c:v>5.5</c:v>
                </c:pt>
                <c:pt idx="10">
                  <c:v>5.5</c:v>
                </c:pt>
                <c:pt idx="11">
                  <c:v>5.5</c:v>
                </c:pt>
                <c:pt idx="12">
                  <c:v>5.5</c:v>
                </c:pt>
                <c:pt idx="13">
                  <c:v>5.5</c:v>
                </c:pt>
                <c:pt idx="14">
                  <c:v>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E8-4E0D-B619-B73F6E76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42608"/>
        <c:axId val="2075022416"/>
      </c:scatterChart>
      <c:scatterChart>
        <c:scatterStyle val="lineMarker"/>
        <c:varyColors val="0"/>
        <c:ser>
          <c:idx val="1"/>
          <c:order val="1"/>
          <c:tx>
            <c:v>flow 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'AL1 absolute perm @40'!$A$2:$A$16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'AL1 absolute perm @40'!$E$2:$E$16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3.6000000000000005</c:v>
                </c:pt>
                <c:pt idx="10">
                  <c:v>2.3999999999999995</c:v>
                </c:pt>
                <c:pt idx="11">
                  <c:v>3.6000000000000005</c:v>
                </c:pt>
                <c:pt idx="12">
                  <c:v>4.7999999999999989</c:v>
                </c:pt>
                <c:pt idx="13">
                  <c:v>4.8000000000000016</c:v>
                </c:pt>
                <c:pt idx="14">
                  <c:v>4.7999999999999989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75-42A1-88C6-7CAA82C2F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820223"/>
        <c:axId val="833828543"/>
      </c:scatterChart>
      <c:valAx>
        <c:axId val="2994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5022416"/>
        <c:crosses val="autoZero"/>
        <c:crossBetween val="midCat"/>
      </c:valAx>
      <c:valAx>
        <c:axId val="207502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42608"/>
        <c:crosses val="autoZero"/>
        <c:crossBetween val="midCat"/>
      </c:valAx>
      <c:valAx>
        <c:axId val="83382854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flow</a:t>
                </a:r>
                <a:r>
                  <a:rPr lang="en-US" baseline="0"/>
                  <a:t> rate (ml/h)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820223"/>
        <c:crosses val="max"/>
        <c:crossBetween val="midCat"/>
      </c:valAx>
      <c:valAx>
        <c:axId val="8338202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33828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</a:t>
            </a:r>
            <a:r>
              <a:rPr lang="en-US" baseline="0"/>
              <a:t> and Production profile of AL1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water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 1 relative permeability @40'!$A$2:$A$40</c:f>
              <c:numCache>
                <c:formatCode>General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</c:numCache>
            </c:numRef>
          </c:xVal>
          <c:yVal>
            <c:numRef>
              <c:f>'AL 1 relative permeability @40'!$F$2:$F$40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8.3333333333333325E-10</c:v>
                </c:pt>
                <c:pt idx="21">
                  <c:v>1.1666666666666666E-9</c:v>
                </c:pt>
                <c:pt idx="22">
                  <c:v>6.6666666666666695E-10</c:v>
                </c:pt>
                <c:pt idx="23">
                  <c:v>0</c:v>
                </c:pt>
                <c:pt idx="24">
                  <c:v>1.3333333333333329E-9</c:v>
                </c:pt>
                <c:pt idx="25">
                  <c:v>1.3333333333333339E-9</c:v>
                </c:pt>
                <c:pt idx="26">
                  <c:v>1.6666666666666665E-9</c:v>
                </c:pt>
                <c:pt idx="27">
                  <c:v>2.9999999999999996E-9</c:v>
                </c:pt>
                <c:pt idx="28">
                  <c:v>2.5000000000000001E-9</c:v>
                </c:pt>
                <c:pt idx="29">
                  <c:v>1.1666666666666653E-9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4-4C10-8ECB-DBAB2EF580FD}"/>
            </c:ext>
          </c:extLst>
        </c:ser>
        <c:ser>
          <c:idx val="1"/>
          <c:order val="1"/>
          <c:tx>
            <c:v>isooctane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'AL 1 relative permeability @40'!$A$2:$A$40</c:f>
              <c:numCache>
                <c:formatCode>General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</c:numCache>
            </c:numRef>
          </c:xVal>
          <c:yVal>
            <c:numRef>
              <c:f>'AL 1 relative permeability @40'!$G$2:$G$40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2.3333333333333331E-9</c:v>
                </c:pt>
                <c:pt idx="31">
                  <c:v>1.6666666666666665E-9</c:v>
                </c:pt>
                <c:pt idx="32">
                  <c:v>1.6666666666666673E-9</c:v>
                </c:pt>
                <c:pt idx="33">
                  <c:v>9.9999999999999944E-10</c:v>
                </c:pt>
                <c:pt idx="34">
                  <c:v>9.9999999999999944E-10</c:v>
                </c:pt>
                <c:pt idx="35">
                  <c:v>1.5000000000000004E-9</c:v>
                </c:pt>
                <c:pt idx="36">
                  <c:v>1.5000000000000004E-9</c:v>
                </c:pt>
                <c:pt idx="37">
                  <c:v>1.6666666666666665E-9</c:v>
                </c:pt>
                <c:pt idx="38">
                  <c:v>1.3333333333333314E-9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E4-4C10-8ECB-DBAB2EF58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34832"/>
        <c:axId val="175049712"/>
      </c:scatterChart>
      <c:scatterChart>
        <c:scatterStyle val="lineMarker"/>
        <c:varyColors val="0"/>
        <c:ser>
          <c:idx val="2"/>
          <c:order val="2"/>
          <c:tx>
            <c:v>inlet pressure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'AL 1 relative permeability @40'!$A$2:$A$40</c:f>
              <c:numCache>
                <c:formatCode>General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</c:numCache>
            </c:numRef>
          </c:xVal>
          <c:yVal>
            <c:numRef>
              <c:f>'AL 1 relative permeability @40'!$B$2:$B$40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1E4-4C10-8ECB-DBAB2EF58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3024"/>
        <c:axId val="175045136"/>
      </c:scatterChart>
      <c:valAx>
        <c:axId val="2523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49712"/>
        <c:crosses val="autoZero"/>
        <c:crossBetween val="midCat"/>
      </c:valAx>
      <c:valAx>
        <c:axId val="17504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rate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34832"/>
        <c:crosses val="autoZero"/>
        <c:crossBetween val="midCat"/>
      </c:valAx>
      <c:valAx>
        <c:axId val="1750451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63024"/>
        <c:crosses val="max"/>
        <c:crossBetween val="midCat"/>
      </c:valAx>
      <c:valAx>
        <c:axId val="175063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045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vs time AL2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pressure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 2 absolute perm@60'!$A$2:$A$15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'AL 2 absolute perm@60'!$B$2:$B$15</c:f>
              <c:numCache>
                <c:formatCode>General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85-4966-9FF4-5A6E0DE95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50688"/>
        <c:axId val="67852480"/>
      </c:scatterChart>
      <c:scatterChart>
        <c:scatterStyle val="smoothMarker"/>
        <c:varyColors val="0"/>
        <c:ser>
          <c:idx val="1"/>
          <c:order val="1"/>
          <c:tx>
            <c:v>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 2 absolute perm@60'!$A$2:$A$15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'AL 2 absolute perm@60'!$D$2:$D$15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1.1999999999999997</c:v>
                </c:pt>
                <c:pt idx="7">
                  <c:v>6.0000000000000018</c:v>
                </c:pt>
                <c:pt idx="8">
                  <c:v>4.7999999999999989</c:v>
                </c:pt>
                <c:pt idx="9">
                  <c:v>4.7999999999999989</c:v>
                </c:pt>
                <c:pt idx="10">
                  <c:v>5.4000000000000021</c:v>
                </c:pt>
                <c:pt idx="11">
                  <c:v>4.7999999999999989</c:v>
                </c:pt>
                <c:pt idx="12">
                  <c:v>4.2000000000000011</c:v>
                </c:pt>
                <c:pt idx="13">
                  <c:v>4.7999999999999989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13-482D-9083-BB8ACC8B9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524095"/>
        <c:axId val="829523679"/>
      </c:scatterChart>
      <c:valAx>
        <c:axId val="6575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52480"/>
        <c:crosses val="autoZero"/>
        <c:crossBetween val="midCat"/>
      </c:valAx>
      <c:valAx>
        <c:axId val="6785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50688"/>
        <c:crosses val="autoZero"/>
        <c:crossBetween val="midCat"/>
      </c:valAx>
      <c:valAx>
        <c:axId val="829523679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524095"/>
        <c:crosses val="max"/>
        <c:crossBetween val="midCat"/>
      </c:valAx>
      <c:valAx>
        <c:axId val="8295240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95236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and production profile</a:t>
            </a:r>
            <a:r>
              <a:rPr lang="en-US" baseline="0"/>
              <a:t> AL2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brine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'AL2 relative perm @60'!$A$2:$A$23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</c:numCache>
            </c:numRef>
          </c:xVal>
          <c:yVal>
            <c:numRef>
              <c:f>'AL2 relative perm @60'!$F$2:$F$23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3.3333333333333322E-10</c:v>
                </c:pt>
                <c:pt idx="3">
                  <c:v>0</c:v>
                </c:pt>
                <c:pt idx="4">
                  <c:v>3.3333333333333322E-10</c:v>
                </c:pt>
                <c:pt idx="5">
                  <c:v>1.166666666666667E-9</c:v>
                </c:pt>
                <c:pt idx="6">
                  <c:v>1.1666666666666662E-9</c:v>
                </c:pt>
                <c:pt idx="7">
                  <c:v>1.3333333333333339E-9</c:v>
                </c:pt>
                <c:pt idx="8">
                  <c:v>6.6666666666666643E-10</c:v>
                </c:pt>
                <c:pt idx="9">
                  <c:v>1.166666666666667E-9</c:v>
                </c:pt>
                <c:pt idx="10">
                  <c:v>1.3333333333333329E-9</c:v>
                </c:pt>
                <c:pt idx="11">
                  <c:v>1.3333333333333329E-9</c:v>
                </c:pt>
                <c:pt idx="12">
                  <c:v>1.5000000000000004E-9</c:v>
                </c:pt>
                <c:pt idx="13">
                  <c:v>2.3333333333333323E-9</c:v>
                </c:pt>
                <c:pt idx="14">
                  <c:v>1.1666666666666653E-9</c:v>
                </c:pt>
                <c:pt idx="15">
                  <c:v>2.9605947323337505E-24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DC-40D5-A256-42DFCE99117C}"/>
            </c:ext>
          </c:extLst>
        </c:ser>
        <c:ser>
          <c:idx val="1"/>
          <c:order val="1"/>
          <c:tx>
            <c:v>isooctane 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'AL2 relative perm @60'!$A$2:$A$23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</c:numCache>
            </c:numRef>
          </c:xVal>
          <c:yVal>
            <c:numRef>
              <c:f>'AL2 relative perm @60'!$G$2:$G$23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4.9999999999999993E-10</c:v>
                </c:pt>
                <c:pt idx="14">
                  <c:v>1.1666666666666666E-9</c:v>
                </c:pt>
                <c:pt idx="15">
                  <c:v>1.3333333333333329E-9</c:v>
                </c:pt>
                <c:pt idx="16">
                  <c:v>6.6666666666666726E-10</c:v>
                </c:pt>
                <c:pt idx="17">
                  <c:v>9.9999999999999944E-10</c:v>
                </c:pt>
                <c:pt idx="18">
                  <c:v>1.6666666666666665E-9</c:v>
                </c:pt>
                <c:pt idx="19">
                  <c:v>6.6666666666666726E-10</c:v>
                </c:pt>
                <c:pt idx="20">
                  <c:v>9.9999999999999944E-10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DC-40D5-A256-42DFCE991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11632"/>
        <c:axId val="220420672"/>
      </c:scatterChart>
      <c:scatterChart>
        <c:scatterStyle val="lineMarker"/>
        <c:varyColors val="0"/>
        <c:ser>
          <c:idx val="2"/>
          <c:order val="2"/>
          <c:tx>
            <c:v>pressure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'AL2 relative perm @60'!$A$2:$A$23</c:f>
              <c:numCache>
                <c:formatCode>General</c:formatCode>
                <c:ptCount val="2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</c:numCache>
            </c:numRef>
          </c:xVal>
          <c:yVal>
            <c:numRef>
              <c:f>'AL2 relative perm @60'!$B$2:$B$23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DC-40D5-A256-42DFCE991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431072"/>
        <c:axId val="220424416"/>
      </c:scatterChart>
      <c:valAx>
        <c:axId val="22111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20672"/>
        <c:crosses val="autoZero"/>
        <c:crossBetween val="midCat"/>
      </c:valAx>
      <c:valAx>
        <c:axId val="22042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rate</a:t>
                </a:r>
                <a:r>
                  <a:rPr lang="en-US" baseline="0"/>
                  <a:t>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11632"/>
        <c:crosses val="autoZero"/>
        <c:crossBetween val="midCat"/>
      </c:valAx>
      <c:valAx>
        <c:axId val="2204244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431072"/>
        <c:crosses val="max"/>
        <c:crossBetween val="midCat"/>
      </c:valAx>
      <c:valAx>
        <c:axId val="22043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0424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 vs time AL3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pressure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'AL3 Absolute perm @80'!$A$2:$A$13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</c:numCache>
            </c:numRef>
          </c:xVal>
          <c:yVal>
            <c:numRef>
              <c:f>'AL3 Absolute perm @80'!$B$2:$B$13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C-4F94-A3B5-595C4017F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1743"/>
        <c:axId val="304732655"/>
      </c:scatterChart>
      <c:scatterChart>
        <c:scatterStyle val="lineMarker"/>
        <c:varyColors val="0"/>
        <c:ser>
          <c:idx val="1"/>
          <c:order val="1"/>
          <c:tx>
            <c:v>flow 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'AL3 Absolute perm @80'!$A$2:$A$13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</c:numCache>
            </c:numRef>
          </c:xVal>
          <c:yVal>
            <c:numRef>
              <c:f>'AL3 Absolute perm @80'!$D$2:$D$13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4.7999999999999989</c:v>
                </c:pt>
                <c:pt idx="6">
                  <c:v>5.4000000000000021</c:v>
                </c:pt>
                <c:pt idx="7">
                  <c:v>4.7999999999999989</c:v>
                </c:pt>
                <c:pt idx="8">
                  <c:v>5.4000000000000021</c:v>
                </c:pt>
                <c:pt idx="9">
                  <c:v>5.3999999999999968</c:v>
                </c:pt>
                <c:pt idx="10">
                  <c:v>4.7999999999999989</c:v>
                </c:pt>
                <c:pt idx="11">
                  <c:v>4.8000000000000043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42-4847-80A9-9D6A78C20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4692239"/>
        <c:axId val="884690159"/>
      </c:scatterChart>
      <c:valAx>
        <c:axId val="92661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32655"/>
        <c:crosses val="autoZero"/>
        <c:crossBetween val="midCat"/>
      </c:valAx>
      <c:valAx>
        <c:axId val="304732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 (bar)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61743"/>
        <c:crosses val="autoZero"/>
        <c:crossBetween val="midCat"/>
      </c:valAx>
      <c:valAx>
        <c:axId val="8846901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rate (ml/h)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692239"/>
        <c:crosses val="max"/>
        <c:crossBetween val="midCat"/>
      </c:valAx>
      <c:valAx>
        <c:axId val="8846922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46901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</a:t>
            </a:r>
            <a:r>
              <a:rPr lang="en-US" baseline="0"/>
              <a:t> and production profile AL3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'AL3 relative perm @80'!$F$1</c:f>
              <c:strCache>
                <c:ptCount val="1"/>
                <c:pt idx="0">
                  <c:v>brine rate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'AL3 relative perm @80'!$A$2:$A$17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</c:numCache>
            </c:numRef>
          </c:xVal>
          <c:yVal>
            <c:numRef>
              <c:f>'AL3 relative perm @80'!$F$2:$F$17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1.0000000000000001E-9</c:v>
                </c:pt>
                <c:pt idx="3">
                  <c:v>1.3333333333333329E-9</c:v>
                </c:pt>
                <c:pt idx="4">
                  <c:v>1.3333333333333339E-9</c:v>
                </c:pt>
                <c:pt idx="5">
                  <c:v>1.3333333333333329E-9</c:v>
                </c:pt>
                <c:pt idx="6">
                  <c:v>1.3333333333333329E-9</c:v>
                </c:pt>
                <c:pt idx="7">
                  <c:v>1.166666666666667E-9</c:v>
                </c:pt>
                <c:pt idx="8">
                  <c:v>2.8333333333333335E-9</c:v>
                </c:pt>
                <c:pt idx="9">
                  <c:v>2.3333333333333323E-9</c:v>
                </c:pt>
                <c:pt idx="10">
                  <c:v>6.6666666666666571E-10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04-43CB-A689-C56514B4BF61}"/>
            </c:ext>
          </c:extLst>
        </c:ser>
        <c:ser>
          <c:idx val="1"/>
          <c:order val="1"/>
          <c:tx>
            <c:strRef>
              <c:f>'AL3 relative perm @80'!$G$1</c:f>
              <c:strCache>
                <c:ptCount val="1"/>
                <c:pt idx="0">
                  <c:v>isooctane rate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'AL3 relative perm @80'!$A$2:$A$17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</c:numCache>
            </c:numRef>
          </c:xVal>
          <c:yVal>
            <c:numRef>
              <c:f>'AL3 relative perm @80'!$G$2:$G$17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1.1666666666666666E-9</c:v>
                </c:pt>
                <c:pt idx="11">
                  <c:v>1.1666666666666666E-9</c:v>
                </c:pt>
                <c:pt idx="12">
                  <c:v>1.3333333333333339E-9</c:v>
                </c:pt>
                <c:pt idx="13">
                  <c:v>9.9999999999999944E-10</c:v>
                </c:pt>
                <c:pt idx="14">
                  <c:v>1.3333333333333339E-9</c:v>
                </c:pt>
                <c:pt idx="15">
                  <c:v>1.0000000000000001E-9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04-43CB-A689-C56514B4B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08143"/>
        <c:axId val="1887370239"/>
      </c:scatterChart>
      <c:scatterChart>
        <c:scatterStyle val="lineMarker"/>
        <c:varyColors val="0"/>
        <c:ser>
          <c:idx val="2"/>
          <c:order val="2"/>
          <c:tx>
            <c:v>pressure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'AL3 relative perm @80'!$A$2:$A$18</c:f>
              <c:numCache>
                <c:formatCode>General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</c:numCache>
            </c:numRef>
          </c:xVal>
          <c:yVal>
            <c:numRef>
              <c:f>'AL3 relative perm @80'!$B$2:$B$18</c:f>
              <c:numCache>
                <c:formatCode>General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04-43CB-A689-C56514B4B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761759"/>
        <c:axId val="2024490543"/>
      </c:scatterChart>
      <c:valAx>
        <c:axId val="27908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7370239"/>
        <c:crosses val="autoZero"/>
        <c:crossBetween val="midCat"/>
      </c:valAx>
      <c:valAx>
        <c:axId val="188737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rate</a:t>
                </a:r>
                <a:r>
                  <a:rPr lang="en-US" baseline="0"/>
                  <a:t> (m3/s)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08143"/>
        <c:crosses val="autoZero"/>
        <c:crossBetween val="midCat"/>
      </c:valAx>
      <c:valAx>
        <c:axId val="202449054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</a:t>
                </a:r>
                <a:r>
                  <a:rPr lang="en-US" baseline="0"/>
                  <a:t> (bar)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761759"/>
        <c:crosses val="max"/>
        <c:crossBetween val="midCat"/>
      </c:valAx>
      <c:valAx>
        <c:axId val="20227617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4490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179070</xdr:rowOff>
    </xdr:from>
    <xdr:to>
      <xdr:col>14</xdr:col>
      <xdr:colOff>411480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178B20-8662-4080-B8BE-516F35ACD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22860</xdr:colOff>
      <xdr:row>0</xdr:row>
      <xdr:rowOff>0</xdr:rowOff>
    </xdr:from>
    <xdr:to>
      <xdr:col>9</xdr:col>
      <xdr:colOff>746760</xdr:colOff>
      <xdr:row>3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214818-0EB4-417E-B6CB-3B95F57D37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4750" b="5934"/>
        <a:stretch/>
      </xdr:blipFill>
      <xdr:spPr>
        <a:xfrm>
          <a:off x="4899660" y="0"/>
          <a:ext cx="1333500" cy="6629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11</xdr:row>
      <xdr:rowOff>118110</xdr:rowOff>
    </xdr:from>
    <xdr:to>
      <xdr:col>18</xdr:col>
      <xdr:colOff>152400</xdr:colOff>
      <xdr:row>34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29DA73-5D16-48C4-B8AA-67360F752C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294818</xdr:colOff>
      <xdr:row>0</xdr:row>
      <xdr:rowOff>129540</xdr:rowOff>
    </xdr:from>
    <xdr:to>
      <xdr:col>19</xdr:col>
      <xdr:colOff>136272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D234FB-6DFB-4C75-A3A4-3D934982F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0018" y="129540"/>
          <a:ext cx="4253434" cy="9220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</xdr:colOff>
      <xdr:row>6</xdr:row>
      <xdr:rowOff>19050</xdr:rowOff>
    </xdr:from>
    <xdr:to>
      <xdr:col>16</xdr:col>
      <xdr:colOff>358140</xdr:colOff>
      <xdr:row>21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6BD83A-FCE6-4ACA-82FF-35DBF4F8C8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91440</xdr:colOff>
      <xdr:row>0</xdr:row>
      <xdr:rowOff>0</xdr:rowOff>
    </xdr:from>
    <xdr:to>
      <xdr:col>21</xdr:col>
      <xdr:colOff>228600</xdr:colOff>
      <xdr:row>19</xdr:row>
      <xdr:rowOff>110490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DE127F-C512-417C-A8AA-7756916EDA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179070</xdr:rowOff>
    </xdr:from>
    <xdr:to>
      <xdr:col>15</xdr:col>
      <xdr:colOff>15240</xdr:colOff>
      <xdr:row>21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715FEE-73E9-4463-82BA-1689F2399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365760</xdr:colOff>
      <xdr:row>0</xdr:row>
      <xdr:rowOff>99060</xdr:rowOff>
    </xdr:from>
    <xdr:to>
      <xdr:col>22</xdr:col>
      <xdr:colOff>228600</xdr:colOff>
      <xdr:row>22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FFEF2F-A8BC-42D0-996B-36DE069B42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workbookViewId="0">
      <selection activeCell="L5" sqref="L5:M7"/>
    </sheetView>
  </sheetViews>
  <sheetFormatPr defaultRowHeight="14.4" x14ac:dyDescent="0.3"/>
  <sheetData>
    <row r="1" spans="1:13" x14ac:dyDescent="0.3">
      <c r="A1" s="1"/>
      <c r="B1" s="1" t="s">
        <v>1</v>
      </c>
      <c r="C1" s="1" t="s">
        <v>3</v>
      </c>
      <c r="D1" s="1" t="s">
        <v>2</v>
      </c>
      <c r="E1" s="1" t="s">
        <v>3</v>
      </c>
      <c r="J1" s="1" t="s">
        <v>10</v>
      </c>
      <c r="K1" s="1" t="s">
        <v>11</v>
      </c>
      <c r="L1" s="1" t="s">
        <v>12</v>
      </c>
      <c r="M1" s="1" t="s">
        <v>13</v>
      </c>
    </row>
    <row r="2" spans="1:13" x14ac:dyDescent="0.3">
      <c r="A2" s="1" t="s">
        <v>0</v>
      </c>
      <c r="B2" s="1">
        <v>100.03</v>
      </c>
      <c r="C2" s="4">
        <f>SUM(B2:B6)/5</f>
        <v>100.166</v>
      </c>
      <c r="D2" s="1">
        <v>37.78</v>
      </c>
      <c r="E2" s="4">
        <f>SUM(D2:D6)/5</f>
        <v>37.817999999999998</v>
      </c>
      <c r="J2" s="1" t="s">
        <v>0</v>
      </c>
      <c r="K2" s="1">
        <v>37.817999999999998</v>
      </c>
      <c r="L2" s="1">
        <v>100.166</v>
      </c>
      <c r="M2" s="1">
        <f t="shared" ref="M2:M7" si="0">PI()*K2^2/4</f>
        <v>1123.2773360785661</v>
      </c>
    </row>
    <row r="3" spans="1:13" x14ac:dyDescent="0.3">
      <c r="A3" s="1"/>
      <c r="B3" s="1">
        <v>100.35</v>
      </c>
      <c r="C3" s="1"/>
      <c r="D3" s="1">
        <v>37.76</v>
      </c>
      <c r="E3" s="1"/>
      <c r="J3" s="1" t="s">
        <v>4</v>
      </c>
      <c r="K3" s="1">
        <v>37.752000000000002</v>
      </c>
      <c r="L3" s="1">
        <v>100.15600000000001</v>
      </c>
      <c r="M3" s="1">
        <f t="shared" si="0"/>
        <v>1119.360068490842</v>
      </c>
    </row>
    <row r="4" spans="1:13" x14ac:dyDescent="0.3">
      <c r="A4" s="1"/>
      <c r="B4" s="1">
        <v>100.11</v>
      </c>
      <c r="C4" s="1"/>
      <c r="D4" s="1">
        <v>37.92</v>
      </c>
      <c r="E4" s="1"/>
      <c r="J4" s="1" t="s">
        <v>5</v>
      </c>
      <c r="K4" s="1">
        <v>37.758000000000003</v>
      </c>
      <c r="L4" s="1">
        <v>100.036</v>
      </c>
      <c r="M4" s="1">
        <f t="shared" si="0"/>
        <v>1119.7159009827508</v>
      </c>
    </row>
    <row r="5" spans="1:13" x14ac:dyDescent="0.3">
      <c r="A5" s="1"/>
      <c r="B5" s="1">
        <v>100.08</v>
      </c>
      <c r="C5" s="1"/>
      <c r="D5" s="1">
        <v>37.79</v>
      </c>
      <c r="E5" s="1"/>
      <c r="J5" s="1" t="s">
        <v>7</v>
      </c>
      <c r="K5" s="1">
        <v>37.838000000000001</v>
      </c>
      <c r="L5" s="1">
        <v>99.992000000000004</v>
      </c>
      <c r="M5" s="1">
        <f t="shared" si="0"/>
        <v>1124.4657377475662</v>
      </c>
    </row>
    <row r="6" spans="1:13" x14ac:dyDescent="0.3">
      <c r="A6" s="1"/>
      <c r="B6" s="1">
        <v>100.26</v>
      </c>
      <c r="C6" s="1"/>
      <c r="D6" s="1">
        <v>37.840000000000003</v>
      </c>
      <c r="E6" s="1"/>
      <c r="J6" s="1" t="s">
        <v>8</v>
      </c>
      <c r="K6" s="1">
        <v>37.898000000000003</v>
      </c>
      <c r="L6" s="1">
        <v>100.24</v>
      </c>
      <c r="M6" s="1">
        <f t="shared" si="0"/>
        <v>1128.0347126657505</v>
      </c>
    </row>
    <row r="7" spans="1:13" x14ac:dyDescent="0.3">
      <c r="A7" s="1"/>
      <c r="B7" s="1"/>
      <c r="C7" s="1"/>
      <c r="D7" s="1"/>
      <c r="E7" s="1"/>
      <c r="J7" s="1" t="s">
        <v>9</v>
      </c>
      <c r="K7" s="1">
        <v>37.83</v>
      </c>
      <c r="L7" s="1">
        <v>100.044</v>
      </c>
      <c r="M7" s="1">
        <f t="shared" si="0"/>
        <v>1123.9903016817425</v>
      </c>
    </row>
    <row r="8" spans="1:13" x14ac:dyDescent="0.3">
      <c r="A8" s="1" t="s">
        <v>4</v>
      </c>
      <c r="B8" s="1">
        <v>100.7</v>
      </c>
      <c r="C8" s="4">
        <f>AVERAGE(B8:B12)</f>
        <v>100.15600000000001</v>
      </c>
      <c r="D8" s="1">
        <v>37.76</v>
      </c>
      <c r="E8" s="4">
        <f>SUM(D8:D12)/5</f>
        <v>37.751999999999995</v>
      </c>
    </row>
    <row r="9" spans="1:13" x14ac:dyDescent="0.3">
      <c r="A9" s="1"/>
      <c r="B9" s="1">
        <v>100.17</v>
      </c>
      <c r="C9" s="1"/>
      <c r="D9" s="1">
        <v>37.770000000000003</v>
      </c>
      <c r="E9" s="1"/>
    </row>
    <row r="10" spans="1:13" x14ac:dyDescent="0.3">
      <c r="A10" s="1"/>
      <c r="B10" s="1">
        <v>99.98</v>
      </c>
      <c r="C10" s="1"/>
      <c r="D10" s="1">
        <v>37.75</v>
      </c>
      <c r="E10" s="1"/>
    </row>
    <row r="11" spans="1:13" x14ac:dyDescent="0.3">
      <c r="A11" s="1"/>
      <c r="B11" s="1">
        <v>100</v>
      </c>
      <c r="C11" s="1"/>
      <c r="D11" s="1">
        <v>37.76</v>
      </c>
      <c r="E11" s="1"/>
    </row>
    <row r="12" spans="1:13" x14ac:dyDescent="0.3">
      <c r="A12" s="1"/>
      <c r="B12" s="1">
        <v>99.93</v>
      </c>
      <c r="C12" s="1"/>
      <c r="D12" s="1">
        <v>37.72</v>
      </c>
      <c r="E12" s="1"/>
    </row>
    <row r="13" spans="1:13" x14ac:dyDescent="0.3">
      <c r="A13" s="1"/>
      <c r="B13" s="1"/>
      <c r="C13" s="1"/>
      <c r="D13" s="1"/>
      <c r="E13" s="1"/>
    </row>
    <row r="14" spans="1:13" x14ac:dyDescent="0.3">
      <c r="A14" s="1" t="s">
        <v>5</v>
      </c>
      <c r="B14" s="1">
        <v>100.03</v>
      </c>
      <c r="C14" s="4">
        <f>AVERAGE(B14:B18)</f>
        <v>100.036</v>
      </c>
      <c r="D14" s="1">
        <v>37.75</v>
      </c>
      <c r="E14" s="4">
        <f>AVERAGE(D14:D18)</f>
        <v>37.757999999999996</v>
      </c>
      <c r="I14" t="s">
        <v>6</v>
      </c>
    </row>
    <row r="15" spans="1:13" x14ac:dyDescent="0.3">
      <c r="A15" s="1"/>
      <c r="B15" s="1">
        <v>100.11</v>
      </c>
      <c r="C15" s="1"/>
      <c r="D15" s="1">
        <v>37.79</v>
      </c>
      <c r="E15" s="1"/>
    </row>
    <row r="16" spans="1:13" x14ac:dyDescent="0.3">
      <c r="A16" s="1"/>
      <c r="B16" s="1">
        <v>100.01</v>
      </c>
      <c r="C16" s="1"/>
      <c r="D16" s="1">
        <v>37.75</v>
      </c>
      <c r="E16" s="1"/>
    </row>
    <row r="17" spans="1:5" x14ac:dyDescent="0.3">
      <c r="A17" s="1"/>
      <c r="B17" s="1">
        <v>100.05</v>
      </c>
      <c r="C17" s="1"/>
      <c r="D17" s="1">
        <v>37.79</v>
      </c>
      <c r="E17" s="1"/>
    </row>
    <row r="18" spans="1:5" x14ac:dyDescent="0.3">
      <c r="A18" s="1"/>
      <c r="B18" s="1">
        <v>99.98</v>
      </c>
      <c r="C18" s="1"/>
      <c r="D18" s="1">
        <v>37.71</v>
      </c>
      <c r="E18" s="1"/>
    </row>
    <row r="19" spans="1:5" x14ac:dyDescent="0.3">
      <c r="A19" s="1"/>
      <c r="B19" s="1"/>
      <c r="C19" s="1"/>
      <c r="D19" s="1"/>
      <c r="E19" s="1"/>
    </row>
    <row r="20" spans="1:5" x14ac:dyDescent="0.3">
      <c r="A20" s="1" t="s">
        <v>7</v>
      </c>
      <c r="B20" s="1">
        <v>99.85</v>
      </c>
      <c r="C20" s="4">
        <f>AVERAGE(B20:B24)</f>
        <v>99.99199999999999</v>
      </c>
      <c r="D20" s="1">
        <v>37.81</v>
      </c>
      <c r="E20" s="4">
        <f>AVERAGE(D20:D24)</f>
        <v>37.838000000000001</v>
      </c>
    </row>
    <row r="21" spans="1:5" x14ac:dyDescent="0.3">
      <c r="A21" s="1"/>
      <c r="B21" s="1">
        <v>100.11</v>
      </c>
      <c r="C21" s="1"/>
      <c r="D21" s="1">
        <v>37.979999999999997</v>
      </c>
      <c r="E21" s="1"/>
    </row>
    <row r="22" spans="1:5" x14ac:dyDescent="0.3">
      <c r="A22" s="1"/>
      <c r="B22" s="1">
        <v>100.12</v>
      </c>
      <c r="C22" s="1"/>
      <c r="D22" s="1">
        <v>37.799999999999997</v>
      </c>
      <c r="E22" s="1"/>
    </row>
    <row r="23" spans="1:5" x14ac:dyDescent="0.3">
      <c r="A23" s="1"/>
      <c r="B23" s="1">
        <v>99.82</v>
      </c>
      <c r="C23" s="1"/>
      <c r="D23" s="1">
        <v>37.79</v>
      </c>
      <c r="E23" s="1"/>
    </row>
    <row r="24" spans="1:5" x14ac:dyDescent="0.3">
      <c r="A24" s="1"/>
      <c r="B24" s="1">
        <v>100.06</v>
      </c>
      <c r="C24" s="1"/>
      <c r="D24" s="1">
        <v>37.81</v>
      </c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 t="s">
        <v>8</v>
      </c>
      <c r="B26" s="1">
        <v>100.25</v>
      </c>
      <c r="C26" s="4">
        <f>AVERAGE(B26:B30)</f>
        <v>100.24</v>
      </c>
      <c r="D26" s="1">
        <v>37.85</v>
      </c>
      <c r="E26" s="4">
        <f>AVERAGE(D26:D30)</f>
        <v>37.898000000000003</v>
      </c>
    </row>
    <row r="27" spans="1:5" x14ac:dyDescent="0.3">
      <c r="A27" s="1"/>
      <c r="B27" s="1">
        <v>100.3</v>
      </c>
      <c r="C27" s="1"/>
      <c r="D27" s="1">
        <v>37.869999999999997</v>
      </c>
      <c r="E27" s="1"/>
    </row>
    <row r="28" spans="1:5" x14ac:dyDescent="0.3">
      <c r="A28" s="1"/>
      <c r="B28" s="1">
        <v>100.26</v>
      </c>
      <c r="C28" s="1"/>
      <c r="D28" s="1">
        <v>37.9</v>
      </c>
      <c r="E28" s="1"/>
    </row>
    <row r="29" spans="1:5" x14ac:dyDescent="0.3">
      <c r="A29" s="1"/>
      <c r="B29" s="1">
        <v>100.2</v>
      </c>
      <c r="C29" s="1"/>
      <c r="D29" s="1">
        <v>37.869999999999997</v>
      </c>
      <c r="E29" s="1"/>
    </row>
    <row r="30" spans="1:5" x14ac:dyDescent="0.3">
      <c r="A30" s="1"/>
      <c r="B30" s="1">
        <v>100.19</v>
      </c>
      <c r="C30" s="1"/>
      <c r="D30" s="1">
        <v>38</v>
      </c>
      <c r="E30" s="1"/>
    </row>
    <row r="31" spans="1:5" x14ac:dyDescent="0.3">
      <c r="A31" s="1"/>
      <c r="B31" s="1"/>
      <c r="C31" s="1"/>
      <c r="D31" s="1"/>
      <c r="E31" s="1"/>
    </row>
    <row r="32" spans="1:5" x14ac:dyDescent="0.3">
      <c r="A32" s="1" t="s">
        <v>9</v>
      </c>
      <c r="B32" s="1">
        <v>100.26</v>
      </c>
      <c r="C32" s="4">
        <f>AVERAGE(B32:B36)</f>
        <v>100.04400000000001</v>
      </c>
      <c r="D32" s="1">
        <v>37.799999999999997</v>
      </c>
      <c r="E32" s="4">
        <f>AVERAGE(D32:D36)</f>
        <v>37.83</v>
      </c>
    </row>
    <row r="33" spans="1:5" x14ac:dyDescent="0.3">
      <c r="A33" s="1"/>
      <c r="B33" s="1">
        <v>99.91</v>
      </c>
      <c r="C33" s="1"/>
      <c r="D33" s="1">
        <v>37.82</v>
      </c>
      <c r="E33" s="1"/>
    </row>
    <row r="34" spans="1:5" x14ac:dyDescent="0.3">
      <c r="A34" s="1"/>
      <c r="B34" s="1">
        <v>100</v>
      </c>
      <c r="C34" s="1"/>
      <c r="D34" s="1">
        <v>37.79</v>
      </c>
      <c r="E34" s="1"/>
    </row>
    <row r="35" spans="1:5" x14ac:dyDescent="0.3">
      <c r="A35" s="1"/>
      <c r="B35" s="1">
        <v>100.02</v>
      </c>
      <c r="C35" s="1"/>
      <c r="D35" s="1">
        <v>37.9</v>
      </c>
      <c r="E35" s="1"/>
    </row>
    <row r="36" spans="1:5" x14ac:dyDescent="0.3">
      <c r="A36" s="1"/>
      <c r="B36" s="1">
        <v>100.03</v>
      </c>
      <c r="C36" s="1"/>
      <c r="D36" s="1">
        <v>37.840000000000003</v>
      </c>
      <c r="E36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E96FE-DE7B-4F22-9E81-C70EC29BEDDD}">
  <dimension ref="A1:M17"/>
  <sheetViews>
    <sheetView workbookViewId="0">
      <selection sqref="A1:G17"/>
    </sheetView>
  </sheetViews>
  <sheetFormatPr defaultRowHeight="14.4" x14ac:dyDescent="0.3"/>
  <cols>
    <col min="12" max="12" width="12" bestFit="1" customWidth="1"/>
  </cols>
  <sheetData>
    <row r="1" spans="1:13" x14ac:dyDescent="0.3">
      <c r="A1" s="6" t="s">
        <v>25</v>
      </c>
      <c r="B1" s="4" t="s">
        <v>26</v>
      </c>
      <c r="C1" s="4" t="s">
        <v>27</v>
      </c>
      <c r="D1" s="4" t="s">
        <v>33</v>
      </c>
      <c r="E1" s="4" t="s">
        <v>28</v>
      </c>
      <c r="F1" s="4" t="s">
        <v>38</v>
      </c>
      <c r="G1" s="4" t="s">
        <v>35</v>
      </c>
      <c r="L1" t="s">
        <v>42</v>
      </c>
    </row>
    <row r="2" spans="1:13" x14ac:dyDescent="0.3">
      <c r="A2" s="6">
        <v>0</v>
      </c>
      <c r="B2" s="1">
        <v>0</v>
      </c>
      <c r="C2" s="1">
        <v>0</v>
      </c>
      <c r="D2" s="1">
        <f t="shared" ref="D2:D11" si="0">E2-1</f>
        <v>0</v>
      </c>
      <c r="E2" s="1">
        <v>1</v>
      </c>
      <c r="F2" s="1">
        <v>0</v>
      </c>
      <c r="G2" s="1">
        <v>0</v>
      </c>
      <c r="L2">
        <f>(5*0.51*0.100036*0.000000001)/(60*60*1119.716*598675*0.000001)</f>
        <v>1.0570486858807052E-16</v>
      </c>
      <c r="M2" t="s">
        <v>32</v>
      </c>
    </row>
    <row r="3" spans="1:13" x14ac:dyDescent="0.3">
      <c r="A3" s="6">
        <f>A2+10</f>
        <v>10</v>
      </c>
      <c r="B3" s="1">
        <v>2</v>
      </c>
      <c r="C3" s="1">
        <v>0</v>
      </c>
      <c r="D3" s="1">
        <f t="shared" si="0"/>
        <v>0</v>
      </c>
      <c r="E3" s="1">
        <v>1</v>
      </c>
      <c r="F3" s="1">
        <f t="shared" ref="F3:F12" si="1">((D3-D2)*0.000001)/(10*60)</f>
        <v>0</v>
      </c>
      <c r="G3" s="1">
        <f t="shared" ref="G3:G17" si="2">((C3-C2)*0.000001)/(60*10)</f>
        <v>0</v>
      </c>
      <c r="L3" s="3">
        <f>L2*1013250000000000</f>
        <v>0.10710545809686245</v>
      </c>
      <c r="M3" t="s">
        <v>31</v>
      </c>
    </row>
    <row r="4" spans="1:13" x14ac:dyDescent="0.3">
      <c r="A4" s="6">
        <f t="shared" ref="A4:A17" si="3">A3+10</f>
        <v>20</v>
      </c>
      <c r="B4" s="1">
        <v>6</v>
      </c>
      <c r="C4" s="1">
        <v>0</v>
      </c>
      <c r="D4" s="1">
        <f t="shared" si="0"/>
        <v>0.60000000000000009</v>
      </c>
      <c r="E4" s="1">
        <v>1.6</v>
      </c>
      <c r="F4" s="1">
        <f t="shared" si="1"/>
        <v>1.0000000000000001E-9</v>
      </c>
      <c r="G4" s="1">
        <f t="shared" si="2"/>
        <v>0</v>
      </c>
    </row>
    <row r="5" spans="1:13" x14ac:dyDescent="0.3">
      <c r="A5" s="6">
        <f t="shared" si="3"/>
        <v>30</v>
      </c>
      <c r="B5" s="1">
        <v>7</v>
      </c>
      <c r="C5" s="1">
        <v>0</v>
      </c>
      <c r="D5" s="1">
        <f t="shared" si="0"/>
        <v>1.4</v>
      </c>
      <c r="E5" s="1">
        <v>2.4</v>
      </c>
      <c r="F5" s="1">
        <f t="shared" si="1"/>
        <v>1.3333333333333329E-9</v>
      </c>
      <c r="G5" s="1">
        <f t="shared" si="2"/>
        <v>0</v>
      </c>
    </row>
    <row r="6" spans="1:13" x14ac:dyDescent="0.3">
      <c r="A6" s="6">
        <f t="shared" si="3"/>
        <v>40</v>
      </c>
      <c r="B6" s="1">
        <v>7</v>
      </c>
      <c r="C6" s="1">
        <v>0</v>
      </c>
      <c r="D6" s="1">
        <f t="shared" si="0"/>
        <v>2.2000000000000002</v>
      </c>
      <c r="E6" s="1">
        <v>3.2</v>
      </c>
      <c r="F6" s="1">
        <f t="shared" si="1"/>
        <v>1.3333333333333339E-9</v>
      </c>
      <c r="G6" s="1">
        <f t="shared" si="2"/>
        <v>0</v>
      </c>
    </row>
    <row r="7" spans="1:13" x14ac:dyDescent="0.3">
      <c r="A7" s="6">
        <f t="shared" si="3"/>
        <v>50</v>
      </c>
      <c r="B7" s="1">
        <v>7</v>
      </c>
      <c r="C7" s="1">
        <v>0</v>
      </c>
      <c r="D7" s="1">
        <f t="shared" si="0"/>
        <v>3</v>
      </c>
      <c r="E7" s="1">
        <v>4</v>
      </c>
      <c r="F7" s="1">
        <f t="shared" si="1"/>
        <v>1.3333333333333329E-9</v>
      </c>
      <c r="G7" s="1">
        <f t="shared" si="2"/>
        <v>0</v>
      </c>
    </row>
    <row r="8" spans="1:13" x14ac:dyDescent="0.3">
      <c r="A8" s="6">
        <f t="shared" si="3"/>
        <v>60</v>
      </c>
      <c r="B8" s="1">
        <v>8</v>
      </c>
      <c r="C8" s="1">
        <v>0</v>
      </c>
      <c r="D8" s="1">
        <f t="shared" si="0"/>
        <v>3.8</v>
      </c>
      <c r="E8" s="1">
        <v>4.8</v>
      </c>
      <c r="F8" s="1">
        <f t="shared" si="1"/>
        <v>1.3333333333333329E-9</v>
      </c>
      <c r="G8" s="1">
        <f t="shared" si="2"/>
        <v>0</v>
      </c>
    </row>
    <row r="9" spans="1:13" x14ac:dyDescent="0.3">
      <c r="A9" s="6">
        <f t="shared" si="3"/>
        <v>70</v>
      </c>
      <c r="B9" s="1">
        <v>8</v>
      </c>
      <c r="C9" s="1">
        <v>0</v>
      </c>
      <c r="D9" s="1">
        <f t="shared" si="0"/>
        <v>4.5</v>
      </c>
      <c r="E9" s="1">
        <v>5.5</v>
      </c>
      <c r="F9" s="1">
        <f t="shared" si="1"/>
        <v>1.166666666666667E-9</v>
      </c>
      <c r="G9" s="1">
        <f t="shared" si="2"/>
        <v>0</v>
      </c>
    </row>
    <row r="10" spans="1:13" x14ac:dyDescent="0.3">
      <c r="A10" s="6">
        <f t="shared" si="3"/>
        <v>80</v>
      </c>
      <c r="B10" s="1">
        <v>8</v>
      </c>
      <c r="C10" s="1">
        <v>0</v>
      </c>
      <c r="D10" s="1">
        <f t="shared" si="0"/>
        <v>6.2</v>
      </c>
      <c r="E10" s="1">
        <v>7.2</v>
      </c>
      <c r="F10" s="1">
        <f t="shared" si="1"/>
        <v>2.8333333333333335E-9</v>
      </c>
      <c r="G10" s="1">
        <f t="shared" si="2"/>
        <v>0</v>
      </c>
    </row>
    <row r="11" spans="1:13" x14ac:dyDescent="0.3">
      <c r="A11" s="6">
        <f t="shared" si="3"/>
        <v>90</v>
      </c>
      <c r="B11" s="1">
        <v>8</v>
      </c>
      <c r="C11" s="1">
        <v>0</v>
      </c>
      <c r="D11" s="1">
        <f t="shared" si="0"/>
        <v>7.6</v>
      </c>
      <c r="E11" s="1">
        <v>8.6</v>
      </c>
      <c r="F11" s="1">
        <f t="shared" si="1"/>
        <v>2.3333333333333323E-9</v>
      </c>
      <c r="G11" s="1">
        <f t="shared" si="2"/>
        <v>0</v>
      </c>
    </row>
    <row r="12" spans="1:13" x14ac:dyDescent="0.3">
      <c r="A12" s="6">
        <f t="shared" si="3"/>
        <v>100</v>
      </c>
      <c r="B12" s="1">
        <v>8</v>
      </c>
      <c r="C12" s="1">
        <v>0.7</v>
      </c>
      <c r="D12" s="1">
        <f>E12-1-C12</f>
        <v>7.9999999999999991</v>
      </c>
      <c r="E12" s="1">
        <v>9.6999999999999993</v>
      </c>
      <c r="F12" s="1">
        <f t="shared" si="1"/>
        <v>6.6666666666666571E-10</v>
      </c>
      <c r="G12" s="1">
        <f t="shared" si="2"/>
        <v>1.1666666666666666E-9</v>
      </c>
    </row>
    <row r="13" spans="1:13" x14ac:dyDescent="0.3">
      <c r="A13" s="6">
        <f t="shared" si="3"/>
        <v>110</v>
      </c>
      <c r="B13" s="1">
        <v>8</v>
      </c>
      <c r="C13" s="1">
        <v>1.4</v>
      </c>
      <c r="D13" s="1">
        <v>8</v>
      </c>
      <c r="E13" s="1"/>
      <c r="F13" s="1">
        <v>0</v>
      </c>
      <c r="G13" s="1">
        <f t="shared" si="2"/>
        <v>1.1666666666666666E-9</v>
      </c>
    </row>
    <row r="14" spans="1:13" x14ac:dyDescent="0.3">
      <c r="A14" s="6">
        <f t="shared" si="3"/>
        <v>120</v>
      </c>
      <c r="B14" s="1">
        <v>7</v>
      </c>
      <c r="C14" s="1">
        <v>2.2000000000000002</v>
      </c>
      <c r="D14" s="1">
        <v>8</v>
      </c>
      <c r="E14" s="1"/>
      <c r="F14" s="1">
        <f>((D14-D13)*0.000001)/(10*60)</f>
        <v>0</v>
      </c>
      <c r="G14" s="1">
        <f t="shared" si="2"/>
        <v>1.3333333333333339E-9</v>
      </c>
    </row>
    <row r="15" spans="1:13" x14ac:dyDescent="0.3">
      <c r="A15" s="6">
        <f t="shared" si="3"/>
        <v>130</v>
      </c>
      <c r="B15" s="1">
        <v>7</v>
      </c>
      <c r="C15" s="1">
        <v>2.8</v>
      </c>
      <c r="D15" s="1">
        <v>8</v>
      </c>
      <c r="E15" s="1"/>
      <c r="F15" s="1">
        <f>((D15-D14)*0.000001)/(10*60)</f>
        <v>0</v>
      </c>
      <c r="G15" s="1">
        <f t="shared" si="2"/>
        <v>9.9999999999999944E-10</v>
      </c>
    </row>
    <row r="16" spans="1:13" x14ac:dyDescent="0.3">
      <c r="A16" s="6">
        <f t="shared" si="3"/>
        <v>140</v>
      </c>
      <c r="B16" s="1">
        <v>7</v>
      </c>
      <c r="C16" s="1">
        <v>3.6</v>
      </c>
      <c r="D16" s="1">
        <v>8</v>
      </c>
      <c r="E16" s="1"/>
      <c r="F16" s="1">
        <f>((D16-D15)*0.000001)/(10*60)</f>
        <v>0</v>
      </c>
      <c r="G16" s="1">
        <f t="shared" si="2"/>
        <v>1.3333333333333339E-9</v>
      </c>
    </row>
    <row r="17" spans="1:7" x14ac:dyDescent="0.3">
      <c r="A17" s="6">
        <f t="shared" si="3"/>
        <v>150</v>
      </c>
      <c r="B17" s="1">
        <v>7</v>
      </c>
      <c r="C17" s="1">
        <v>4.2</v>
      </c>
      <c r="D17" s="1">
        <v>8</v>
      </c>
      <c r="E17" s="1"/>
      <c r="F17" s="1">
        <f>((D17-D16)*0.000001)/(10*60)</f>
        <v>0</v>
      </c>
      <c r="G17" s="1">
        <f t="shared" si="2"/>
        <v>1.0000000000000001E-9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7623-AC49-42DB-974F-FAF23DDB2800}">
  <dimension ref="A1:F18"/>
  <sheetViews>
    <sheetView workbookViewId="0">
      <selection sqref="A1:F18"/>
    </sheetView>
  </sheetViews>
  <sheetFormatPr defaultRowHeight="14.4" x14ac:dyDescent="0.3"/>
  <sheetData>
    <row r="1" spans="1:6" x14ac:dyDescent="0.3">
      <c r="A1" s="6" t="s">
        <v>25</v>
      </c>
      <c r="B1" s="4" t="s">
        <v>26</v>
      </c>
      <c r="C1" s="4" t="s">
        <v>27</v>
      </c>
      <c r="D1" s="4" t="s">
        <v>28</v>
      </c>
      <c r="E1" s="4" t="s">
        <v>29</v>
      </c>
      <c r="F1" s="4" t="s">
        <v>33</v>
      </c>
    </row>
    <row r="2" spans="1:6" x14ac:dyDescent="0.3">
      <c r="A2" s="6">
        <v>0</v>
      </c>
      <c r="B2" s="1">
        <v>0</v>
      </c>
      <c r="C2" s="1"/>
      <c r="D2" s="1">
        <v>1</v>
      </c>
      <c r="E2" s="1">
        <v>1</v>
      </c>
      <c r="F2" s="8" t="s">
        <v>50</v>
      </c>
    </row>
    <row r="3" spans="1:6" x14ac:dyDescent="0.3">
      <c r="A3" s="6">
        <f>A2+10</f>
        <v>10</v>
      </c>
      <c r="B3" s="1">
        <v>0</v>
      </c>
      <c r="C3" s="1"/>
      <c r="D3" s="1"/>
      <c r="E3" s="1">
        <v>1</v>
      </c>
      <c r="F3" s="8" t="s">
        <v>50</v>
      </c>
    </row>
    <row r="4" spans="1:6" x14ac:dyDescent="0.3">
      <c r="A4" s="6">
        <f t="shared" ref="A4:A18" si="0">A3+10</f>
        <v>20</v>
      </c>
      <c r="B4" s="1">
        <v>2</v>
      </c>
      <c r="C4" s="1"/>
      <c r="D4" s="1"/>
      <c r="E4" s="1">
        <v>1</v>
      </c>
      <c r="F4" s="8" t="s">
        <v>50</v>
      </c>
    </row>
    <row r="5" spans="1:6" x14ac:dyDescent="0.3">
      <c r="A5" s="6">
        <f t="shared" si="0"/>
        <v>30</v>
      </c>
      <c r="B5" s="1">
        <v>5</v>
      </c>
      <c r="C5" s="1"/>
      <c r="D5" s="1"/>
      <c r="E5" s="1">
        <v>1</v>
      </c>
      <c r="F5" s="8" t="s">
        <v>50</v>
      </c>
    </row>
    <row r="6" spans="1:6" x14ac:dyDescent="0.3">
      <c r="A6" s="6">
        <f t="shared" si="0"/>
        <v>40</v>
      </c>
      <c r="B6" s="1">
        <v>8</v>
      </c>
      <c r="C6" s="1"/>
      <c r="D6" s="1"/>
      <c r="E6" s="1">
        <v>1</v>
      </c>
      <c r="F6" s="8" t="s">
        <v>50</v>
      </c>
    </row>
    <row r="7" spans="1:6" x14ac:dyDescent="0.3">
      <c r="A7" s="6">
        <f t="shared" si="0"/>
        <v>50</v>
      </c>
      <c r="B7" s="1">
        <v>12</v>
      </c>
      <c r="C7" s="1"/>
      <c r="D7" s="1"/>
      <c r="E7" s="1">
        <v>1</v>
      </c>
      <c r="F7" s="8" t="s">
        <v>50</v>
      </c>
    </row>
    <row r="8" spans="1:6" x14ac:dyDescent="0.3">
      <c r="A8" s="6">
        <f t="shared" si="0"/>
        <v>60</v>
      </c>
      <c r="B8" s="1">
        <v>14</v>
      </c>
      <c r="C8" s="1"/>
      <c r="D8" s="1"/>
      <c r="E8" s="1">
        <v>1</v>
      </c>
      <c r="F8" s="8" t="s">
        <v>50</v>
      </c>
    </row>
    <row r="9" spans="1:6" x14ac:dyDescent="0.3">
      <c r="A9" s="6">
        <f t="shared" si="0"/>
        <v>70</v>
      </c>
      <c r="B9" s="1">
        <v>14</v>
      </c>
      <c r="C9" s="1">
        <v>0.1</v>
      </c>
      <c r="D9" s="1">
        <v>1.1000000000000001</v>
      </c>
      <c r="E9" s="1"/>
      <c r="F9" s="8" t="s">
        <v>50</v>
      </c>
    </row>
    <row r="10" spans="1:6" x14ac:dyDescent="0.3">
      <c r="A10" s="6">
        <f t="shared" si="0"/>
        <v>80</v>
      </c>
      <c r="B10" s="1">
        <v>14</v>
      </c>
      <c r="C10" s="1">
        <v>0.4</v>
      </c>
      <c r="D10" s="1">
        <v>1.4</v>
      </c>
      <c r="E10" s="1"/>
      <c r="F10" s="8" t="s">
        <v>50</v>
      </c>
    </row>
    <row r="11" spans="1:6" x14ac:dyDescent="0.3">
      <c r="A11" s="6">
        <f t="shared" si="0"/>
        <v>90</v>
      </c>
      <c r="B11" s="1">
        <v>14</v>
      </c>
      <c r="C11" s="1">
        <f>D11-E11</f>
        <v>0.40000000000000013</v>
      </c>
      <c r="D11" s="1">
        <v>2.2000000000000002</v>
      </c>
      <c r="E11" s="1">
        <v>1.8</v>
      </c>
      <c r="F11" s="8" t="s">
        <v>50</v>
      </c>
    </row>
    <row r="12" spans="1:6" x14ac:dyDescent="0.3">
      <c r="A12" s="6">
        <f t="shared" si="0"/>
        <v>100</v>
      </c>
      <c r="B12" s="1">
        <v>14</v>
      </c>
      <c r="C12" s="1">
        <v>0.4</v>
      </c>
      <c r="D12" s="1">
        <v>3</v>
      </c>
      <c r="E12" s="1">
        <f>D12-C12</f>
        <v>2.6</v>
      </c>
      <c r="F12" s="8" t="s">
        <v>50</v>
      </c>
    </row>
    <row r="13" spans="1:6" x14ac:dyDescent="0.3">
      <c r="A13" s="6">
        <f t="shared" si="0"/>
        <v>110</v>
      </c>
      <c r="B13" s="1">
        <v>14</v>
      </c>
      <c r="C13" s="1">
        <v>0.4</v>
      </c>
      <c r="D13" s="1">
        <v>4</v>
      </c>
      <c r="E13" s="1">
        <f>D13-C13</f>
        <v>3.6</v>
      </c>
      <c r="F13" s="8" t="s">
        <v>50</v>
      </c>
    </row>
    <row r="14" spans="1:6" x14ac:dyDescent="0.3">
      <c r="A14" s="6">
        <f t="shared" si="0"/>
        <v>120</v>
      </c>
      <c r="B14" s="1">
        <v>14</v>
      </c>
      <c r="C14" s="1">
        <v>0.4</v>
      </c>
      <c r="D14" s="1">
        <v>4.5</v>
      </c>
      <c r="E14" s="1"/>
      <c r="F14" s="8" t="s">
        <v>50</v>
      </c>
    </row>
    <row r="15" spans="1:6" x14ac:dyDescent="0.3">
      <c r="A15" s="6">
        <f t="shared" si="0"/>
        <v>130</v>
      </c>
      <c r="B15" s="1">
        <v>14</v>
      </c>
      <c r="C15" s="1">
        <v>0.4</v>
      </c>
      <c r="D15" s="1">
        <v>5.4</v>
      </c>
      <c r="E15" s="1"/>
      <c r="F15" s="8" t="s">
        <v>50</v>
      </c>
    </row>
    <row r="16" spans="1:6" x14ac:dyDescent="0.3">
      <c r="A16" s="6">
        <f t="shared" si="0"/>
        <v>140</v>
      </c>
      <c r="B16" s="1">
        <v>14</v>
      </c>
      <c r="C16" s="1"/>
      <c r="D16" s="1">
        <v>6.2</v>
      </c>
      <c r="E16" s="1"/>
      <c r="F16" s="8" t="s">
        <v>50</v>
      </c>
    </row>
    <row r="17" spans="1:6" x14ac:dyDescent="0.3">
      <c r="A17" s="6">
        <f t="shared" si="0"/>
        <v>150</v>
      </c>
      <c r="B17" s="1">
        <v>14</v>
      </c>
      <c r="C17" s="1"/>
      <c r="D17" s="1">
        <v>7</v>
      </c>
      <c r="E17" s="1"/>
      <c r="F17" s="8" t="s">
        <v>50</v>
      </c>
    </row>
    <row r="18" spans="1:6" x14ac:dyDescent="0.3">
      <c r="A18" s="6">
        <f t="shared" si="0"/>
        <v>160</v>
      </c>
      <c r="B18" s="1">
        <v>14</v>
      </c>
      <c r="C18" s="1"/>
      <c r="D18" s="1">
        <v>8</v>
      </c>
      <c r="E18" s="1"/>
      <c r="F18" s="8" t="s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2E39F-2069-4B00-8C75-D2457041EEA8}">
  <dimension ref="A2:D5"/>
  <sheetViews>
    <sheetView workbookViewId="0">
      <selection activeCell="D23" sqref="D23"/>
    </sheetView>
  </sheetViews>
  <sheetFormatPr defaultRowHeight="14.4" x14ac:dyDescent="0.3"/>
  <sheetData>
    <row r="2" spans="1:4" x14ac:dyDescent="0.3">
      <c r="A2" t="s">
        <v>44</v>
      </c>
      <c r="B2" t="s">
        <v>49</v>
      </c>
      <c r="C2" t="s">
        <v>47</v>
      </c>
      <c r="D2" t="s">
        <v>48</v>
      </c>
    </row>
    <row r="3" spans="1:4" x14ac:dyDescent="0.3">
      <c r="A3" t="s">
        <v>0</v>
      </c>
      <c r="B3" s="5">
        <v>0.19802451891203091</v>
      </c>
      <c r="C3">
        <v>8.0134155849680214E-2</v>
      </c>
      <c r="D3">
        <v>51.219512195121951</v>
      </c>
    </row>
    <row r="4" spans="1:4" x14ac:dyDescent="0.3">
      <c r="A4" t="s">
        <v>45</v>
      </c>
      <c r="B4">
        <v>0.10663705446729575</v>
      </c>
      <c r="C4">
        <v>7.1459310224769812E-2</v>
      </c>
      <c r="D4">
        <v>36.144578313253007</v>
      </c>
    </row>
    <row r="5" spans="1:4" x14ac:dyDescent="0.3">
      <c r="A5" t="s">
        <v>46</v>
      </c>
      <c r="B5">
        <v>0.16290883670076067</v>
      </c>
      <c r="C5">
        <v>0.10710545809686245</v>
      </c>
      <c r="D5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4CB3E-567E-4DE9-9D67-3622B01F2B00}">
  <dimension ref="A1:I15"/>
  <sheetViews>
    <sheetView tabSelected="1" workbookViewId="0">
      <selection activeCell="A12" sqref="A12:F15"/>
    </sheetView>
  </sheetViews>
  <sheetFormatPr defaultRowHeight="14.4" x14ac:dyDescent="0.3"/>
  <cols>
    <col min="6" max="6" width="12" bestFit="1" customWidth="1"/>
  </cols>
  <sheetData>
    <row r="1" spans="1:9" x14ac:dyDescent="0.3">
      <c r="A1" s="1" t="s">
        <v>14</v>
      </c>
      <c r="B1" s="1" t="s">
        <v>15</v>
      </c>
      <c r="C1" s="1" t="s">
        <v>16</v>
      </c>
      <c r="D1" s="1" t="s">
        <v>19</v>
      </c>
      <c r="E1" s="1" t="s">
        <v>18</v>
      </c>
      <c r="F1" s="1" t="s">
        <v>17</v>
      </c>
      <c r="G1" s="1" t="s">
        <v>20</v>
      </c>
      <c r="H1" s="2" t="s">
        <v>34</v>
      </c>
      <c r="I1" s="2"/>
    </row>
    <row r="2" spans="1:9" x14ac:dyDescent="0.3">
      <c r="A2" s="1" t="s">
        <v>0</v>
      </c>
      <c r="B2" s="1">
        <v>258.58800000000002</v>
      </c>
      <c r="C2" s="1">
        <v>273.13</v>
      </c>
      <c r="D2" s="1">
        <f>(C2-B2)/1000</f>
        <v>1.4541999999999973E-2</v>
      </c>
      <c r="E2" s="1">
        <f>'length and diameter'!L2*'length and diameter'!M2/1000000000</f>
        <v>1.1251419764564565E-4</v>
      </c>
      <c r="F2" s="1">
        <f>D2/1024.79</f>
        <v>1.4190224338644966E-5</v>
      </c>
      <c r="G2" s="1">
        <f>F2/E2</f>
        <v>0.12611941102167326</v>
      </c>
    </row>
    <row r="3" spans="1:9" x14ac:dyDescent="0.3">
      <c r="A3" s="1" t="s">
        <v>4</v>
      </c>
      <c r="B3" s="1">
        <v>260.57</v>
      </c>
      <c r="C3" s="1">
        <v>274.33999999999997</v>
      </c>
      <c r="D3" s="1">
        <f>(C3-B3)/1000</f>
        <v>1.3769999999999982E-2</v>
      </c>
      <c r="E3" s="1">
        <f>'length and diameter'!L3*'length and diameter'!M3/1000000000</f>
        <v>1.1211062701976877E-4</v>
      </c>
      <c r="F3" s="1">
        <f>D3/1024.79</f>
        <v>1.3436899267166915E-5</v>
      </c>
      <c r="G3" s="1">
        <f>F3/E3</f>
        <v>0.11985393021481852</v>
      </c>
    </row>
    <row r="4" spans="1:9" x14ac:dyDescent="0.3">
      <c r="A4" s="1" t="s">
        <v>5</v>
      </c>
      <c r="B4" s="1">
        <v>259.72000000000003</v>
      </c>
      <c r="C4" s="1">
        <v>273.95999999999998</v>
      </c>
      <c r="D4" s="1">
        <f>(C4-B4)/1000</f>
        <v>1.4239999999999952E-2</v>
      </c>
      <c r="E4" s="1">
        <f>'length and diameter'!L4*'length and diameter'!M4/1000000000</f>
        <v>1.1201189987071047E-4</v>
      </c>
      <c r="F4" s="1">
        <f>D4/1024.79</f>
        <v>1.3895529815864668E-5</v>
      </c>
      <c r="G4" s="1">
        <f>F4/E4</f>
        <v>0.12405404989919426</v>
      </c>
      <c r="H4">
        <v>259.79000000000002</v>
      </c>
    </row>
    <row r="5" spans="1:9" x14ac:dyDescent="0.3">
      <c r="A5" s="1" t="s">
        <v>7</v>
      </c>
      <c r="B5" s="1">
        <v>258.27999999999997</v>
      </c>
      <c r="C5" s="1">
        <v>272.8</v>
      </c>
      <c r="D5" s="1">
        <f>(C5-B5)/1000</f>
        <v>1.4520000000000038E-2</v>
      </c>
      <c r="E5" s="1">
        <f>'length and diameter'!L5*'length and diameter'!M5/1000000000</f>
        <v>1.1243757804885464E-4</v>
      </c>
      <c r="F5" s="1">
        <f>D5/1024.79</f>
        <v>1.416875652572726E-5</v>
      </c>
      <c r="G5" s="1">
        <f>F5/E5</f>
        <v>0.126014423038985</v>
      </c>
      <c r="H5">
        <v>258.35000000000002</v>
      </c>
    </row>
    <row r="6" spans="1:9" x14ac:dyDescent="0.3">
      <c r="A6" s="1" t="s">
        <v>8</v>
      </c>
      <c r="B6" s="1">
        <v>262.47000000000003</v>
      </c>
      <c r="C6" s="1">
        <v>275.99</v>
      </c>
      <c r="D6" s="1">
        <f>(C6-B6)/1000</f>
        <v>1.3519999999999982E-2</v>
      </c>
      <c r="E6" s="1">
        <f>'length and diameter'!L6*'length and diameter'!M6/1000000000</f>
        <v>1.1307419959761481E-4</v>
      </c>
      <c r="F6" s="1">
        <f t="shared" ref="F6:F7" si="0">D6/1024.79</f>
        <v>1.3192946847646817E-5</v>
      </c>
      <c r="G6" s="1">
        <f t="shared" ref="G6:G7" si="1">F6/E6</f>
        <v>0.11667512920361285</v>
      </c>
      <c r="H6">
        <v>262.51</v>
      </c>
    </row>
    <row r="7" spans="1:9" x14ac:dyDescent="0.3">
      <c r="A7" s="1" t="s">
        <v>9</v>
      </c>
      <c r="B7" s="1">
        <v>261.47000000000003</v>
      </c>
      <c r="C7" s="1">
        <v>274.89999999999998</v>
      </c>
      <c r="D7" s="1">
        <f t="shared" ref="D7" si="2">(C7-B7)/1000</f>
        <v>1.3429999999999951E-2</v>
      </c>
      <c r="E7" s="1">
        <f>'length and diameter'!L7*'length and diameter'!M7/1000000000</f>
        <v>1.1244848574144824E-4</v>
      </c>
      <c r="F7" s="1">
        <f t="shared" si="0"/>
        <v>1.3105123976619553E-5</v>
      </c>
      <c r="G7" s="1">
        <f t="shared" si="1"/>
        <v>0.11654335663311681</v>
      </c>
      <c r="H7">
        <v>261.5</v>
      </c>
    </row>
    <row r="11" spans="1:9" ht="15" thickBot="1" x14ac:dyDescent="0.35"/>
    <row r="12" spans="1:9" ht="15" thickBot="1" x14ac:dyDescent="0.35">
      <c r="A12" s="10" t="s">
        <v>53</v>
      </c>
      <c r="B12" s="11" t="s">
        <v>54</v>
      </c>
      <c r="C12" s="11" t="s">
        <v>55</v>
      </c>
      <c r="D12" s="12" t="s">
        <v>56</v>
      </c>
      <c r="E12" s="12" t="s">
        <v>57</v>
      </c>
      <c r="F12" s="13" t="s">
        <v>20</v>
      </c>
    </row>
    <row r="13" spans="1:9" x14ac:dyDescent="0.3">
      <c r="A13" s="14" t="s">
        <v>7</v>
      </c>
      <c r="B13" s="9">
        <v>258.27999999999997</v>
      </c>
      <c r="C13" s="9">
        <v>272.8</v>
      </c>
      <c r="D13" s="9">
        <v>99.992000000000004</v>
      </c>
      <c r="E13" s="9">
        <v>1124.4657377475662</v>
      </c>
      <c r="F13" s="15">
        <v>0.126014423038985</v>
      </c>
    </row>
    <row r="14" spans="1:9" x14ac:dyDescent="0.3">
      <c r="A14" s="16" t="s">
        <v>8</v>
      </c>
      <c r="B14" s="1">
        <v>262.47000000000003</v>
      </c>
      <c r="C14" s="1">
        <v>275.99</v>
      </c>
      <c r="D14" s="1">
        <v>100.24</v>
      </c>
      <c r="E14" s="1">
        <v>1128.0347126657505</v>
      </c>
      <c r="F14" s="17">
        <v>0.11667512920361285</v>
      </c>
    </row>
    <row r="15" spans="1:9" ht="15" thickBot="1" x14ac:dyDescent="0.35">
      <c r="A15" s="18" t="s">
        <v>9</v>
      </c>
      <c r="B15" s="19">
        <v>261.47000000000003</v>
      </c>
      <c r="C15" s="19">
        <v>274.89999999999998</v>
      </c>
      <c r="D15" s="19">
        <v>100.044</v>
      </c>
      <c r="E15" s="19">
        <v>1123.9903016817425</v>
      </c>
      <c r="F15" s="20">
        <v>0.11654335663311681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6793B-D788-47A2-82A3-4A602E007CA0}">
  <dimension ref="A1:M16"/>
  <sheetViews>
    <sheetView workbookViewId="0">
      <selection sqref="A1:E16"/>
    </sheetView>
  </sheetViews>
  <sheetFormatPr defaultRowHeight="14.4" x14ac:dyDescent="0.3"/>
  <cols>
    <col min="10" max="10" width="12" bestFit="1" customWidth="1"/>
    <col min="12" max="12" width="12" bestFit="1" customWidth="1"/>
  </cols>
  <sheetData>
    <row r="1" spans="1:13" x14ac:dyDescent="0.3">
      <c r="A1" s="6" t="s">
        <v>51</v>
      </c>
      <c r="B1" s="4" t="s">
        <v>23</v>
      </c>
      <c r="C1" s="4" t="s">
        <v>22</v>
      </c>
      <c r="D1" s="4" t="s">
        <v>24</v>
      </c>
      <c r="E1" s="4" t="s">
        <v>40</v>
      </c>
      <c r="L1" t="s">
        <v>37</v>
      </c>
    </row>
    <row r="2" spans="1:13" x14ac:dyDescent="0.3">
      <c r="A2" s="6">
        <v>0</v>
      </c>
      <c r="B2" s="1">
        <v>0</v>
      </c>
      <c r="C2" s="1">
        <v>1</v>
      </c>
      <c r="D2" s="1">
        <v>0</v>
      </c>
      <c r="E2" s="1">
        <f>D2*6</f>
        <v>0</v>
      </c>
      <c r="L2">
        <f>(5*0.708*0.100166*0.000000001)/(60*60*1123.277*448675*0.000001)</f>
        <v>1.954350050945284E-16</v>
      </c>
      <c r="M2" t="s">
        <v>32</v>
      </c>
    </row>
    <row r="3" spans="1:13" x14ac:dyDescent="0.3">
      <c r="A3" s="6">
        <f>A2+10</f>
        <v>10</v>
      </c>
      <c r="B3" s="1">
        <v>0</v>
      </c>
      <c r="C3" s="1">
        <v>1</v>
      </c>
      <c r="D3" s="1">
        <f>C3-C2</f>
        <v>0</v>
      </c>
      <c r="E3" s="1">
        <f t="shared" ref="E3:E16" si="0">D3*6</f>
        <v>0</v>
      </c>
      <c r="L3" s="3">
        <f>L2*1013250000000000</f>
        <v>0.19802451891203091</v>
      </c>
      <c r="M3" t="s">
        <v>31</v>
      </c>
    </row>
    <row r="4" spans="1:13" x14ac:dyDescent="0.3">
      <c r="A4" s="6">
        <f t="shared" ref="A4:A16" si="1">A3+10</f>
        <v>20</v>
      </c>
      <c r="B4" s="1">
        <v>2</v>
      </c>
      <c r="C4" s="1">
        <v>1</v>
      </c>
      <c r="D4" s="1">
        <f t="shared" ref="D4:D16" si="2">C4-C3</f>
        <v>0</v>
      </c>
      <c r="E4" s="1">
        <f t="shared" si="0"/>
        <v>0</v>
      </c>
    </row>
    <row r="5" spans="1:13" x14ac:dyDescent="0.3">
      <c r="A5" s="6">
        <f t="shared" si="1"/>
        <v>30</v>
      </c>
      <c r="B5" s="1">
        <v>4</v>
      </c>
      <c r="C5" s="1">
        <v>1</v>
      </c>
      <c r="D5" s="1">
        <f t="shared" si="2"/>
        <v>0</v>
      </c>
      <c r="E5" s="1">
        <f t="shared" si="0"/>
        <v>0</v>
      </c>
    </row>
    <row r="6" spans="1:13" x14ac:dyDescent="0.3">
      <c r="A6" s="6">
        <f t="shared" si="1"/>
        <v>40</v>
      </c>
      <c r="B6" s="1">
        <v>5</v>
      </c>
      <c r="C6" s="1">
        <v>1</v>
      </c>
      <c r="D6" s="1">
        <f t="shared" si="2"/>
        <v>0</v>
      </c>
      <c r="E6" s="1">
        <f t="shared" si="0"/>
        <v>0</v>
      </c>
    </row>
    <row r="7" spans="1:13" x14ac:dyDescent="0.3">
      <c r="A7" s="6">
        <f t="shared" si="1"/>
        <v>50</v>
      </c>
      <c r="B7" s="1">
        <v>5.5</v>
      </c>
      <c r="C7" s="1">
        <v>1</v>
      </c>
      <c r="D7" s="1">
        <f t="shared" si="2"/>
        <v>0</v>
      </c>
      <c r="E7" s="1">
        <f t="shared" si="0"/>
        <v>0</v>
      </c>
    </row>
    <row r="8" spans="1:13" x14ac:dyDescent="0.3">
      <c r="A8" s="6">
        <f t="shared" si="1"/>
        <v>60</v>
      </c>
      <c r="B8" s="1">
        <v>5.5</v>
      </c>
      <c r="C8" s="1">
        <v>1</v>
      </c>
      <c r="D8" s="1">
        <f t="shared" si="2"/>
        <v>0</v>
      </c>
      <c r="E8" s="1">
        <f t="shared" si="0"/>
        <v>0</v>
      </c>
    </row>
    <row r="9" spans="1:13" x14ac:dyDescent="0.3">
      <c r="A9" s="6">
        <f t="shared" si="1"/>
        <v>70</v>
      </c>
      <c r="B9" s="1">
        <v>5.5</v>
      </c>
      <c r="C9" s="1">
        <v>1</v>
      </c>
      <c r="D9" s="1">
        <f t="shared" si="2"/>
        <v>0</v>
      </c>
      <c r="E9" s="1">
        <f t="shared" si="0"/>
        <v>0</v>
      </c>
    </row>
    <row r="10" spans="1:13" x14ac:dyDescent="0.3">
      <c r="A10" s="6">
        <f t="shared" si="1"/>
        <v>80</v>
      </c>
      <c r="B10" s="1">
        <v>5.5</v>
      </c>
      <c r="C10" s="1">
        <v>1</v>
      </c>
      <c r="D10" s="1">
        <f t="shared" si="2"/>
        <v>0</v>
      </c>
      <c r="E10" s="1">
        <f t="shared" si="0"/>
        <v>0</v>
      </c>
    </row>
    <row r="11" spans="1:13" x14ac:dyDescent="0.3">
      <c r="A11" s="6">
        <f t="shared" si="1"/>
        <v>90</v>
      </c>
      <c r="B11" s="1">
        <v>5.5</v>
      </c>
      <c r="C11" s="1">
        <v>1.6</v>
      </c>
      <c r="D11" s="1">
        <f t="shared" si="2"/>
        <v>0.60000000000000009</v>
      </c>
      <c r="E11" s="1">
        <f t="shared" si="0"/>
        <v>3.6000000000000005</v>
      </c>
    </row>
    <row r="12" spans="1:13" x14ac:dyDescent="0.3">
      <c r="A12" s="6">
        <f t="shared" si="1"/>
        <v>100</v>
      </c>
      <c r="B12" s="1">
        <v>5.5</v>
      </c>
      <c r="C12" s="1">
        <v>2</v>
      </c>
      <c r="D12" s="1">
        <f t="shared" si="2"/>
        <v>0.39999999999999991</v>
      </c>
      <c r="E12" s="1">
        <f t="shared" si="0"/>
        <v>2.3999999999999995</v>
      </c>
    </row>
    <row r="13" spans="1:13" x14ac:dyDescent="0.3">
      <c r="A13" s="6">
        <f t="shared" si="1"/>
        <v>110</v>
      </c>
      <c r="B13" s="1">
        <v>5.5</v>
      </c>
      <c r="C13" s="1">
        <v>2.6</v>
      </c>
      <c r="D13" s="1">
        <f t="shared" si="2"/>
        <v>0.60000000000000009</v>
      </c>
      <c r="E13" s="1">
        <f t="shared" si="0"/>
        <v>3.6000000000000005</v>
      </c>
    </row>
    <row r="14" spans="1:13" x14ac:dyDescent="0.3">
      <c r="A14" s="6">
        <f t="shared" si="1"/>
        <v>120</v>
      </c>
      <c r="B14" s="1">
        <v>5.5</v>
      </c>
      <c r="C14" s="1">
        <v>3.4</v>
      </c>
      <c r="D14" s="1">
        <f t="shared" si="2"/>
        <v>0.79999999999999982</v>
      </c>
      <c r="E14" s="1">
        <f t="shared" si="0"/>
        <v>4.7999999999999989</v>
      </c>
    </row>
    <row r="15" spans="1:13" x14ac:dyDescent="0.3">
      <c r="A15" s="6">
        <f t="shared" si="1"/>
        <v>130</v>
      </c>
      <c r="B15" s="1">
        <v>5.5</v>
      </c>
      <c r="C15" s="1">
        <v>4.2</v>
      </c>
      <c r="D15" s="1">
        <f t="shared" si="2"/>
        <v>0.80000000000000027</v>
      </c>
      <c r="E15" s="1">
        <f t="shared" si="0"/>
        <v>4.8000000000000016</v>
      </c>
    </row>
    <row r="16" spans="1:13" x14ac:dyDescent="0.3">
      <c r="A16" s="6">
        <f t="shared" si="1"/>
        <v>140</v>
      </c>
      <c r="B16" s="1">
        <v>5.5</v>
      </c>
      <c r="C16" s="1">
        <v>5</v>
      </c>
      <c r="D16" s="1">
        <f t="shared" si="2"/>
        <v>0.79999999999999982</v>
      </c>
      <c r="E16" s="1">
        <f t="shared" si="0"/>
        <v>4.7999999999999989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1F61-0ABB-471C-9CDA-67053A1C6E6A}">
  <dimension ref="A1:L40"/>
  <sheetViews>
    <sheetView topLeftCell="A13" workbookViewId="0">
      <selection sqref="A1:G40"/>
    </sheetView>
  </sheetViews>
  <sheetFormatPr defaultRowHeight="14.4" x14ac:dyDescent="0.3"/>
  <cols>
    <col min="10" max="11" width="12" bestFit="1" customWidth="1"/>
    <col min="17" max="17" width="12.6640625" bestFit="1" customWidth="1"/>
  </cols>
  <sheetData>
    <row r="1" spans="1:12" x14ac:dyDescent="0.3">
      <c r="A1" s="6" t="s">
        <v>25</v>
      </c>
      <c r="B1" s="4" t="s">
        <v>26</v>
      </c>
      <c r="C1" s="4" t="s">
        <v>22</v>
      </c>
      <c r="D1" s="4" t="s">
        <v>28</v>
      </c>
      <c r="E1" s="4" t="s">
        <v>27</v>
      </c>
      <c r="F1" s="4" t="s">
        <v>36</v>
      </c>
      <c r="G1" s="4" t="s">
        <v>35</v>
      </c>
      <c r="K1" t="s">
        <v>30</v>
      </c>
    </row>
    <row r="2" spans="1:12" x14ac:dyDescent="0.3">
      <c r="A2" s="6">
        <v>0</v>
      </c>
      <c r="B2" s="1">
        <v>0</v>
      </c>
      <c r="C2" s="1">
        <v>0</v>
      </c>
      <c r="D2" s="1"/>
      <c r="E2" s="1"/>
      <c r="F2" s="1">
        <f>(C2*0.001)/(10*60)</f>
        <v>0</v>
      </c>
      <c r="G2" s="1">
        <f>(E2*0.001)/(10*60)</f>
        <v>0</v>
      </c>
      <c r="K2">
        <f>(5*0.51*0.100166*0.000000001)/(60*60*1123.277*798675*0.000001)</f>
        <v>7.9086262866696484E-17</v>
      </c>
      <c r="L2" t="s">
        <v>32</v>
      </c>
    </row>
    <row r="3" spans="1:12" x14ac:dyDescent="0.3">
      <c r="A3" s="6">
        <f>A2+10</f>
        <v>10</v>
      </c>
      <c r="B3" s="1">
        <v>0</v>
      </c>
      <c r="C3" s="1">
        <v>0</v>
      </c>
      <c r="D3" s="1"/>
      <c r="E3" s="1"/>
      <c r="F3" s="1">
        <f>((C3-C2)*0.000001)/(10*60)</f>
        <v>0</v>
      </c>
      <c r="G3" s="1">
        <f>((E3-E2)*0.000001)/(10*60)</f>
        <v>0</v>
      </c>
      <c r="K3" s="3">
        <f>K2*1013250000000000</f>
        <v>8.0134155849680214E-2</v>
      </c>
      <c r="L3" t="s">
        <v>31</v>
      </c>
    </row>
    <row r="4" spans="1:12" x14ac:dyDescent="0.3">
      <c r="A4" s="6">
        <f t="shared" ref="A4:A40" si="0">A3+10</f>
        <v>20</v>
      </c>
      <c r="B4" s="1">
        <v>0</v>
      </c>
      <c r="C4" s="1">
        <v>0</v>
      </c>
      <c r="D4" s="1"/>
      <c r="E4" s="1"/>
      <c r="F4" s="1">
        <f t="shared" ref="F4:F31" si="1">((C4-C3)*0.000001)/(10*60)</f>
        <v>0</v>
      </c>
      <c r="G4" s="1">
        <f t="shared" ref="G4:G40" si="2">((E4-E3)*0.000001)/(10*60)</f>
        <v>0</v>
      </c>
    </row>
    <row r="5" spans="1:12" x14ac:dyDescent="0.3">
      <c r="A5" s="6">
        <f t="shared" si="0"/>
        <v>30</v>
      </c>
      <c r="B5" s="1">
        <v>0</v>
      </c>
      <c r="C5" s="1">
        <v>0</v>
      </c>
      <c r="D5" s="1"/>
      <c r="E5" s="1"/>
      <c r="F5" s="1">
        <f t="shared" si="1"/>
        <v>0</v>
      </c>
      <c r="G5" s="1">
        <f t="shared" si="2"/>
        <v>0</v>
      </c>
    </row>
    <row r="6" spans="1:12" x14ac:dyDescent="0.3">
      <c r="A6" s="6">
        <f t="shared" si="0"/>
        <v>40</v>
      </c>
      <c r="B6" s="1">
        <v>0</v>
      </c>
      <c r="C6" s="1">
        <v>0</v>
      </c>
      <c r="D6" s="1"/>
      <c r="E6" s="1"/>
      <c r="F6" s="1">
        <f t="shared" si="1"/>
        <v>0</v>
      </c>
      <c r="G6" s="1">
        <f t="shared" si="2"/>
        <v>0</v>
      </c>
    </row>
    <row r="7" spans="1:12" x14ac:dyDescent="0.3">
      <c r="A7" s="6">
        <f t="shared" si="0"/>
        <v>50</v>
      </c>
      <c r="B7" s="1">
        <v>0</v>
      </c>
      <c r="C7" s="1">
        <v>0</v>
      </c>
      <c r="D7" s="1"/>
      <c r="E7" s="1"/>
      <c r="F7" s="1">
        <f t="shared" si="1"/>
        <v>0</v>
      </c>
      <c r="G7" s="1">
        <f t="shared" si="2"/>
        <v>0</v>
      </c>
    </row>
    <row r="8" spans="1:12" x14ac:dyDescent="0.3">
      <c r="A8" s="6">
        <f t="shared" si="0"/>
        <v>60</v>
      </c>
      <c r="B8" s="1">
        <v>0</v>
      </c>
      <c r="C8" s="1">
        <v>0</v>
      </c>
      <c r="D8" s="1"/>
      <c r="E8" s="1"/>
      <c r="F8" s="1">
        <f t="shared" si="1"/>
        <v>0</v>
      </c>
      <c r="G8" s="1">
        <f t="shared" si="2"/>
        <v>0</v>
      </c>
    </row>
    <row r="9" spans="1:12" x14ac:dyDescent="0.3">
      <c r="A9" s="6">
        <f t="shared" si="0"/>
        <v>70</v>
      </c>
      <c r="B9" s="1">
        <v>0</v>
      </c>
      <c r="C9" s="1">
        <v>0</v>
      </c>
      <c r="D9" s="1"/>
      <c r="E9" s="1"/>
      <c r="F9" s="1">
        <f t="shared" si="1"/>
        <v>0</v>
      </c>
      <c r="G9" s="1">
        <f t="shared" si="2"/>
        <v>0</v>
      </c>
    </row>
    <row r="10" spans="1:12" x14ac:dyDescent="0.3">
      <c r="A10" s="6">
        <f t="shared" si="0"/>
        <v>80</v>
      </c>
      <c r="B10" s="1">
        <v>0</v>
      </c>
      <c r="C10" s="1">
        <v>0</v>
      </c>
      <c r="D10" s="1"/>
      <c r="E10" s="1"/>
      <c r="F10" s="1">
        <f t="shared" si="1"/>
        <v>0</v>
      </c>
      <c r="G10" s="1">
        <f t="shared" si="2"/>
        <v>0</v>
      </c>
    </row>
    <row r="11" spans="1:12" x14ac:dyDescent="0.3">
      <c r="A11" s="6">
        <f t="shared" si="0"/>
        <v>90</v>
      </c>
      <c r="B11" s="1">
        <v>0</v>
      </c>
      <c r="C11" s="1">
        <v>0</v>
      </c>
      <c r="D11" s="1"/>
      <c r="E11" s="1"/>
      <c r="F11" s="1">
        <f t="shared" si="1"/>
        <v>0</v>
      </c>
      <c r="G11" s="1">
        <f t="shared" si="2"/>
        <v>0</v>
      </c>
    </row>
    <row r="12" spans="1:12" x14ac:dyDescent="0.3">
      <c r="A12" s="6">
        <f t="shared" si="0"/>
        <v>100</v>
      </c>
      <c r="B12" s="1">
        <v>0</v>
      </c>
      <c r="C12" s="1">
        <v>0</v>
      </c>
      <c r="D12" s="1"/>
      <c r="E12" s="1"/>
      <c r="F12" s="1">
        <f t="shared" si="1"/>
        <v>0</v>
      </c>
      <c r="G12" s="1">
        <f t="shared" si="2"/>
        <v>0</v>
      </c>
    </row>
    <row r="13" spans="1:12" x14ac:dyDescent="0.3">
      <c r="A13" s="6">
        <f t="shared" si="0"/>
        <v>110</v>
      </c>
      <c r="B13" s="1">
        <v>0</v>
      </c>
      <c r="C13" s="1">
        <v>0</v>
      </c>
      <c r="D13" s="1"/>
      <c r="E13" s="1"/>
      <c r="F13" s="1">
        <f t="shared" si="1"/>
        <v>0</v>
      </c>
      <c r="G13" s="1">
        <f t="shared" si="2"/>
        <v>0</v>
      </c>
    </row>
    <row r="14" spans="1:12" x14ac:dyDescent="0.3">
      <c r="A14" s="6">
        <f t="shared" si="0"/>
        <v>120</v>
      </c>
      <c r="B14" s="1">
        <v>0</v>
      </c>
      <c r="C14" s="1">
        <v>0</v>
      </c>
      <c r="D14" s="1"/>
      <c r="E14" s="1"/>
      <c r="F14" s="1">
        <f t="shared" si="1"/>
        <v>0</v>
      </c>
      <c r="G14" s="1">
        <f t="shared" si="2"/>
        <v>0</v>
      </c>
    </row>
    <row r="15" spans="1:12" x14ac:dyDescent="0.3">
      <c r="A15" s="6">
        <f t="shared" si="0"/>
        <v>130</v>
      </c>
      <c r="B15" s="1">
        <v>0</v>
      </c>
      <c r="C15" s="1">
        <v>0</v>
      </c>
      <c r="D15" s="1"/>
      <c r="E15" s="1"/>
      <c r="F15" s="1">
        <f t="shared" si="1"/>
        <v>0</v>
      </c>
      <c r="G15" s="1">
        <f t="shared" si="2"/>
        <v>0</v>
      </c>
    </row>
    <row r="16" spans="1:12" x14ac:dyDescent="0.3">
      <c r="A16" s="6">
        <f t="shared" si="0"/>
        <v>140</v>
      </c>
      <c r="B16" s="1">
        <v>1</v>
      </c>
      <c r="C16" s="1">
        <v>0</v>
      </c>
      <c r="D16" s="1"/>
      <c r="E16" s="1"/>
      <c r="F16" s="1">
        <f t="shared" si="1"/>
        <v>0</v>
      </c>
      <c r="G16" s="1">
        <f t="shared" si="2"/>
        <v>0</v>
      </c>
    </row>
    <row r="17" spans="1:7" x14ac:dyDescent="0.3">
      <c r="A17" s="6">
        <f t="shared" si="0"/>
        <v>150</v>
      </c>
      <c r="B17" s="1">
        <v>2</v>
      </c>
      <c r="C17" s="1">
        <v>0</v>
      </c>
      <c r="D17" s="1"/>
      <c r="E17" s="1"/>
      <c r="F17" s="1">
        <f t="shared" si="1"/>
        <v>0</v>
      </c>
      <c r="G17" s="1">
        <f t="shared" si="2"/>
        <v>0</v>
      </c>
    </row>
    <row r="18" spans="1:7" x14ac:dyDescent="0.3">
      <c r="A18" s="6">
        <f t="shared" si="0"/>
        <v>160</v>
      </c>
      <c r="B18" s="1">
        <v>2</v>
      </c>
      <c r="C18" s="1">
        <v>0</v>
      </c>
      <c r="D18" s="1"/>
      <c r="E18" s="1"/>
      <c r="F18" s="1">
        <f t="shared" si="1"/>
        <v>0</v>
      </c>
      <c r="G18" s="1">
        <f t="shared" si="2"/>
        <v>0</v>
      </c>
    </row>
    <row r="19" spans="1:7" x14ac:dyDescent="0.3">
      <c r="A19" s="6">
        <f t="shared" si="0"/>
        <v>170</v>
      </c>
      <c r="B19" s="1">
        <v>5</v>
      </c>
      <c r="C19" s="1">
        <v>0</v>
      </c>
      <c r="D19" s="1"/>
      <c r="E19" s="1"/>
      <c r="F19" s="1">
        <f t="shared" si="1"/>
        <v>0</v>
      </c>
      <c r="G19" s="1">
        <f t="shared" si="2"/>
        <v>0</v>
      </c>
    </row>
    <row r="20" spans="1:7" x14ac:dyDescent="0.3">
      <c r="A20" s="6">
        <f t="shared" si="0"/>
        <v>180</v>
      </c>
      <c r="B20" s="1">
        <v>7</v>
      </c>
      <c r="C20" s="1">
        <v>0</v>
      </c>
      <c r="D20" s="1"/>
      <c r="E20" s="1"/>
      <c r="F20" s="1">
        <f t="shared" si="1"/>
        <v>0</v>
      </c>
      <c r="G20" s="1">
        <f t="shared" si="2"/>
        <v>0</v>
      </c>
    </row>
    <row r="21" spans="1:7" x14ac:dyDescent="0.3">
      <c r="A21" s="6">
        <f t="shared" si="0"/>
        <v>190</v>
      </c>
      <c r="B21" s="1">
        <v>8</v>
      </c>
      <c r="C21" s="1">
        <v>0</v>
      </c>
      <c r="D21" s="1"/>
      <c r="E21" s="1"/>
      <c r="F21" s="1">
        <f t="shared" si="1"/>
        <v>0</v>
      </c>
      <c r="G21" s="1">
        <f t="shared" si="2"/>
        <v>0</v>
      </c>
    </row>
    <row r="22" spans="1:7" x14ac:dyDescent="0.3">
      <c r="A22" s="6">
        <f t="shared" si="0"/>
        <v>200</v>
      </c>
      <c r="B22" s="1">
        <v>8</v>
      </c>
      <c r="C22" s="1">
        <v>0.5</v>
      </c>
      <c r="D22" s="1"/>
      <c r="E22" s="1"/>
      <c r="F22" s="1">
        <f t="shared" si="1"/>
        <v>8.3333333333333325E-10</v>
      </c>
      <c r="G22" s="1">
        <f t="shared" si="2"/>
        <v>0</v>
      </c>
    </row>
    <row r="23" spans="1:7" x14ac:dyDescent="0.3">
      <c r="A23" s="6">
        <f t="shared" si="0"/>
        <v>210</v>
      </c>
      <c r="B23" s="1">
        <v>9</v>
      </c>
      <c r="C23" s="1">
        <v>1.2</v>
      </c>
      <c r="D23" s="1"/>
      <c r="E23" s="1"/>
      <c r="F23" s="1">
        <f t="shared" si="1"/>
        <v>1.1666666666666666E-9</v>
      </c>
      <c r="G23" s="1">
        <f t="shared" si="2"/>
        <v>0</v>
      </c>
    </row>
    <row r="24" spans="1:7" x14ac:dyDescent="0.3">
      <c r="A24" s="6">
        <f t="shared" si="0"/>
        <v>220</v>
      </c>
      <c r="B24" s="1">
        <v>6</v>
      </c>
      <c r="C24" s="1">
        <v>1.6</v>
      </c>
      <c r="D24" s="1"/>
      <c r="E24" s="1"/>
      <c r="F24" s="1">
        <f t="shared" si="1"/>
        <v>6.6666666666666695E-10</v>
      </c>
      <c r="G24" s="1">
        <f t="shared" si="2"/>
        <v>0</v>
      </c>
    </row>
    <row r="25" spans="1:7" x14ac:dyDescent="0.3">
      <c r="A25" s="6">
        <f t="shared" si="0"/>
        <v>230</v>
      </c>
      <c r="B25" s="1">
        <v>9</v>
      </c>
      <c r="C25" s="1">
        <v>1.6</v>
      </c>
      <c r="D25" s="1"/>
      <c r="E25" s="1"/>
      <c r="F25" s="1">
        <f t="shared" si="1"/>
        <v>0</v>
      </c>
      <c r="G25" s="1">
        <f t="shared" si="2"/>
        <v>0</v>
      </c>
    </row>
    <row r="26" spans="1:7" x14ac:dyDescent="0.3">
      <c r="A26" s="6">
        <f t="shared" si="0"/>
        <v>240</v>
      </c>
      <c r="B26" s="1">
        <v>10</v>
      </c>
      <c r="C26" s="1">
        <v>2.4</v>
      </c>
      <c r="D26" s="1"/>
      <c r="E26" s="1"/>
      <c r="F26" s="1">
        <f t="shared" si="1"/>
        <v>1.3333333333333329E-9</v>
      </c>
      <c r="G26" s="1">
        <f t="shared" si="2"/>
        <v>0</v>
      </c>
    </row>
    <row r="27" spans="1:7" x14ac:dyDescent="0.3">
      <c r="A27" s="6">
        <f t="shared" si="0"/>
        <v>250</v>
      </c>
      <c r="B27" s="1">
        <v>10</v>
      </c>
      <c r="C27" s="1">
        <v>3.2</v>
      </c>
      <c r="D27" s="1"/>
      <c r="E27" s="1"/>
      <c r="F27" s="1">
        <f t="shared" si="1"/>
        <v>1.3333333333333339E-9</v>
      </c>
      <c r="G27" s="1">
        <f t="shared" si="2"/>
        <v>0</v>
      </c>
    </row>
    <row r="28" spans="1:7" x14ac:dyDescent="0.3">
      <c r="A28" s="6">
        <f t="shared" si="0"/>
        <v>260</v>
      </c>
      <c r="B28" s="1">
        <v>10</v>
      </c>
      <c r="C28" s="1">
        <v>4.2</v>
      </c>
      <c r="D28" s="1"/>
      <c r="E28" s="1"/>
      <c r="F28" s="1">
        <f t="shared" si="1"/>
        <v>1.6666666666666665E-9</v>
      </c>
      <c r="G28" s="1">
        <f t="shared" si="2"/>
        <v>0</v>
      </c>
    </row>
    <row r="29" spans="1:7" x14ac:dyDescent="0.3">
      <c r="A29" s="6">
        <f t="shared" si="0"/>
        <v>270</v>
      </c>
      <c r="B29" s="1">
        <v>10</v>
      </c>
      <c r="C29" s="1">
        <v>6</v>
      </c>
      <c r="D29" s="1"/>
      <c r="E29" s="1"/>
      <c r="F29" s="1">
        <f t="shared" si="1"/>
        <v>2.9999999999999996E-9</v>
      </c>
      <c r="G29" s="1">
        <f t="shared" si="2"/>
        <v>0</v>
      </c>
    </row>
    <row r="30" spans="1:7" x14ac:dyDescent="0.3">
      <c r="A30" s="6">
        <f t="shared" si="0"/>
        <v>280</v>
      </c>
      <c r="B30" s="1">
        <v>10</v>
      </c>
      <c r="C30" s="1">
        <v>7.5</v>
      </c>
      <c r="D30" s="1"/>
      <c r="E30" s="1"/>
      <c r="F30" s="1">
        <f t="shared" si="1"/>
        <v>2.5000000000000001E-9</v>
      </c>
      <c r="G30" s="1">
        <f t="shared" si="2"/>
        <v>0</v>
      </c>
    </row>
    <row r="31" spans="1:7" x14ac:dyDescent="0.3">
      <c r="A31" s="6">
        <f t="shared" si="0"/>
        <v>290</v>
      </c>
      <c r="B31" s="1">
        <v>10</v>
      </c>
      <c r="C31" s="1">
        <v>8.1999999999999993</v>
      </c>
      <c r="D31" s="1"/>
      <c r="E31" s="1"/>
      <c r="F31" s="1">
        <f t="shared" si="1"/>
        <v>1.1666666666666653E-9</v>
      </c>
      <c r="G31" s="1">
        <f t="shared" si="2"/>
        <v>0</v>
      </c>
    </row>
    <row r="32" spans="1:7" x14ac:dyDescent="0.3">
      <c r="A32" s="6">
        <f t="shared" si="0"/>
        <v>300</v>
      </c>
      <c r="B32" s="1">
        <v>10</v>
      </c>
      <c r="C32" s="1"/>
      <c r="D32" s="1">
        <v>2.4</v>
      </c>
      <c r="E32" s="1">
        <f t="shared" ref="E32:E40" si="3">D32-1</f>
        <v>1.4</v>
      </c>
      <c r="F32" s="1">
        <f t="shared" ref="F32:F40" si="4">(C32*0.001)/(10*60)</f>
        <v>0</v>
      </c>
      <c r="G32" s="1">
        <f t="shared" si="2"/>
        <v>2.3333333333333331E-9</v>
      </c>
    </row>
    <row r="33" spans="1:7" x14ac:dyDescent="0.3">
      <c r="A33" s="6">
        <f t="shared" si="0"/>
        <v>310</v>
      </c>
      <c r="B33" s="1">
        <v>10</v>
      </c>
      <c r="C33" s="1"/>
      <c r="D33" s="1">
        <v>3.4</v>
      </c>
      <c r="E33" s="1">
        <f t="shared" si="3"/>
        <v>2.4</v>
      </c>
      <c r="F33" s="1">
        <f t="shared" si="4"/>
        <v>0</v>
      </c>
      <c r="G33" s="1">
        <f t="shared" si="2"/>
        <v>1.6666666666666665E-9</v>
      </c>
    </row>
    <row r="34" spans="1:7" x14ac:dyDescent="0.3">
      <c r="A34" s="6">
        <f t="shared" si="0"/>
        <v>320</v>
      </c>
      <c r="B34" s="1">
        <v>9</v>
      </c>
      <c r="C34" s="1"/>
      <c r="D34" s="1">
        <v>4.4000000000000004</v>
      </c>
      <c r="E34" s="1">
        <f t="shared" si="3"/>
        <v>3.4000000000000004</v>
      </c>
      <c r="F34" s="1">
        <f t="shared" si="4"/>
        <v>0</v>
      </c>
      <c r="G34" s="1">
        <f t="shared" si="2"/>
        <v>1.6666666666666673E-9</v>
      </c>
    </row>
    <row r="35" spans="1:7" x14ac:dyDescent="0.3">
      <c r="A35" s="6">
        <f t="shared" si="0"/>
        <v>330</v>
      </c>
      <c r="B35" s="1">
        <v>5</v>
      </c>
      <c r="C35" s="1"/>
      <c r="D35" s="1">
        <v>5</v>
      </c>
      <c r="E35" s="1">
        <f t="shared" si="3"/>
        <v>4</v>
      </c>
      <c r="F35" s="1">
        <f t="shared" si="4"/>
        <v>0</v>
      </c>
      <c r="G35" s="1">
        <f t="shared" si="2"/>
        <v>9.9999999999999944E-10</v>
      </c>
    </row>
    <row r="36" spans="1:7" x14ac:dyDescent="0.3">
      <c r="A36" s="6">
        <f t="shared" si="0"/>
        <v>340</v>
      </c>
      <c r="B36" s="1">
        <v>9</v>
      </c>
      <c r="C36" s="1"/>
      <c r="D36" s="1">
        <v>5.6</v>
      </c>
      <c r="E36" s="1">
        <f t="shared" si="3"/>
        <v>4.5999999999999996</v>
      </c>
      <c r="F36" s="1">
        <f t="shared" si="4"/>
        <v>0</v>
      </c>
      <c r="G36" s="1">
        <f t="shared" si="2"/>
        <v>9.9999999999999944E-10</v>
      </c>
    </row>
    <row r="37" spans="1:7" x14ac:dyDescent="0.3">
      <c r="A37" s="6">
        <f t="shared" si="0"/>
        <v>350</v>
      </c>
      <c r="B37" s="1">
        <v>9</v>
      </c>
      <c r="C37" s="1"/>
      <c r="D37" s="1">
        <v>6.5</v>
      </c>
      <c r="E37" s="1">
        <f t="shared" si="3"/>
        <v>5.5</v>
      </c>
      <c r="F37" s="1">
        <f t="shared" si="4"/>
        <v>0</v>
      </c>
      <c r="G37" s="1">
        <f t="shared" si="2"/>
        <v>1.5000000000000004E-9</v>
      </c>
    </row>
    <row r="38" spans="1:7" x14ac:dyDescent="0.3">
      <c r="A38" s="6">
        <f t="shared" si="0"/>
        <v>360</v>
      </c>
      <c r="B38" s="1">
        <v>9</v>
      </c>
      <c r="C38" s="1"/>
      <c r="D38" s="1">
        <v>7.4</v>
      </c>
      <c r="E38" s="1">
        <f t="shared" si="3"/>
        <v>6.4</v>
      </c>
      <c r="F38" s="1">
        <f t="shared" si="4"/>
        <v>0</v>
      </c>
      <c r="G38" s="1">
        <f t="shared" si="2"/>
        <v>1.5000000000000004E-9</v>
      </c>
    </row>
    <row r="39" spans="1:7" x14ac:dyDescent="0.3">
      <c r="A39" s="6">
        <f t="shared" si="0"/>
        <v>370</v>
      </c>
      <c r="B39" s="1">
        <v>9</v>
      </c>
      <c r="C39" s="1"/>
      <c r="D39" s="1">
        <v>8.4</v>
      </c>
      <c r="E39" s="1">
        <f t="shared" si="3"/>
        <v>7.4</v>
      </c>
      <c r="F39" s="1">
        <f t="shared" si="4"/>
        <v>0</v>
      </c>
      <c r="G39" s="1">
        <f t="shared" si="2"/>
        <v>1.6666666666666665E-9</v>
      </c>
    </row>
    <row r="40" spans="1:7" x14ac:dyDescent="0.3">
      <c r="A40" s="6">
        <f t="shared" si="0"/>
        <v>380</v>
      </c>
      <c r="B40" s="1">
        <v>9</v>
      </c>
      <c r="C40" s="1"/>
      <c r="D40" s="1">
        <v>9.1999999999999993</v>
      </c>
      <c r="E40" s="1">
        <f t="shared" si="3"/>
        <v>8.1999999999999993</v>
      </c>
      <c r="F40" s="1">
        <f t="shared" si="4"/>
        <v>0</v>
      </c>
      <c r="G40" s="1">
        <f t="shared" si="2"/>
        <v>1.3333333333333314E-9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2535A-56FB-4436-8505-94A6387C8067}">
  <dimension ref="A1:M18"/>
  <sheetViews>
    <sheetView workbookViewId="0">
      <selection sqref="A1:F18"/>
    </sheetView>
  </sheetViews>
  <sheetFormatPr defaultRowHeight="14.4" x14ac:dyDescent="0.3"/>
  <cols>
    <col min="13" max="13" width="11" bestFit="1" customWidth="1"/>
  </cols>
  <sheetData>
    <row r="1" spans="1:13" x14ac:dyDescent="0.3">
      <c r="A1" s="6" t="s">
        <v>25</v>
      </c>
      <c r="B1" s="4" t="s">
        <v>26</v>
      </c>
      <c r="C1" s="4" t="s">
        <v>27</v>
      </c>
      <c r="D1" s="4" t="s">
        <v>28</v>
      </c>
      <c r="E1" s="4" t="s">
        <v>29</v>
      </c>
      <c r="F1" s="4" t="s">
        <v>33</v>
      </c>
      <c r="K1" t="s">
        <v>43</v>
      </c>
    </row>
    <row r="2" spans="1:13" x14ac:dyDescent="0.3">
      <c r="A2" s="6">
        <v>0</v>
      </c>
      <c r="B2" s="1">
        <v>0</v>
      </c>
      <c r="C2" s="1">
        <f>D2-E2</f>
        <v>0</v>
      </c>
      <c r="D2" s="1">
        <v>1</v>
      </c>
      <c r="E2" s="1">
        <v>1</v>
      </c>
      <c r="F2" s="1">
        <f>E2-1</f>
        <v>0</v>
      </c>
      <c r="K2" s="3">
        <f>(4.2/8.2)*100</f>
        <v>51.219512195121951</v>
      </c>
    </row>
    <row r="3" spans="1:13" x14ac:dyDescent="0.3">
      <c r="A3" s="6">
        <f>A2+10</f>
        <v>10</v>
      </c>
      <c r="B3" s="1">
        <v>1</v>
      </c>
      <c r="C3" s="1">
        <f t="shared" ref="C3:C12" si="0">D3-E3</f>
        <v>0</v>
      </c>
      <c r="D3" s="1">
        <v>1</v>
      </c>
      <c r="E3" s="1">
        <v>1</v>
      </c>
      <c r="F3" s="1">
        <f t="shared" ref="F3:F18" si="1">E3-1</f>
        <v>0</v>
      </c>
    </row>
    <row r="4" spans="1:13" x14ac:dyDescent="0.3">
      <c r="A4" s="6">
        <f t="shared" ref="A4:A18" si="2">A3+10</f>
        <v>20</v>
      </c>
      <c r="B4" s="1">
        <v>5</v>
      </c>
      <c r="C4" s="1">
        <f t="shared" si="0"/>
        <v>0</v>
      </c>
      <c r="D4" s="1">
        <v>1</v>
      </c>
      <c r="E4" s="1">
        <v>1</v>
      </c>
      <c r="F4" s="1">
        <f t="shared" si="1"/>
        <v>0</v>
      </c>
    </row>
    <row r="5" spans="1:13" x14ac:dyDescent="0.3">
      <c r="A5" s="6">
        <f t="shared" si="2"/>
        <v>30</v>
      </c>
      <c r="B5" s="1">
        <v>9</v>
      </c>
      <c r="C5" s="1">
        <f t="shared" si="0"/>
        <v>0</v>
      </c>
      <c r="D5" s="1">
        <v>1</v>
      </c>
      <c r="E5" s="1">
        <v>1</v>
      </c>
      <c r="F5" s="1">
        <f t="shared" si="1"/>
        <v>0</v>
      </c>
    </row>
    <row r="6" spans="1:13" x14ac:dyDescent="0.3">
      <c r="A6" s="6">
        <f t="shared" si="2"/>
        <v>40</v>
      </c>
      <c r="B6" s="1">
        <v>12</v>
      </c>
      <c r="C6" s="1">
        <f t="shared" si="0"/>
        <v>0</v>
      </c>
      <c r="D6" s="1">
        <v>1</v>
      </c>
      <c r="E6" s="1">
        <v>1</v>
      </c>
      <c r="F6" s="1">
        <f t="shared" si="1"/>
        <v>0</v>
      </c>
      <c r="M6" s="5"/>
    </row>
    <row r="7" spans="1:13" x14ac:dyDescent="0.3">
      <c r="A7" s="6">
        <f t="shared" si="2"/>
        <v>50</v>
      </c>
      <c r="B7" s="1">
        <v>16</v>
      </c>
      <c r="C7" s="1">
        <f t="shared" si="0"/>
        <v>0</v>
      </c>
      <c r="D7" s="1">
        <v>1</v>
      </c>
      <c r="E7" s="1">
        <v>1</v>
      </c>
      <c r="F7" s="1">
        <f t="shared" si="1"/>
        <v>0</v>
      </c>
    </row>
    <row r="8" spans="1:13" x14ac:dyDescent="0.3">
      <c r="A8" s="6">
        <f t="shared" si="2"/>
        <v>60</v>
      </c>
      <c r="B8" s="1">
        <v>21</v>
      </c>
      <c r="C8" s="1">
        <f t="shared" si="0"/>
        <v>0.8</v>
      </c>
      <c r="D8" s="1">
        <v>1.8</v>
      </c>
      <c r="E8" s="1">
        <v>1</v>
      </c>
      <c r="F8" s="1">
        <f t="shared" si="1"/>
        <v>0</v>
      </c>
    </row>
    <row r="9" spans="1:13" x14ac:dyDescent="0.3">
      <c r="A9" s="6">
        <f t="shared" si="2"/>
        <v>70</v>
      </c>
      <c r="B9" s="1">
        <v>22</v>
      </c>
      <c r="C9" s="1">
        <f t="shared" si="0"/>
        <v>1.6</v>
      </c>
      <c r="D9" s="1">
        <v>2.6</v>
      </c>
      <c r="E9" s="1">
        <v>1</v>
      </c>
      <c r="F9" s="1">
        <f t="shared" si="1"/>
        <v>0</v>
      </c>
    </row>
    <row r="10" spans="1:13" x14ac:dyDescent="0.3">
      <c r="A10" s="6">
        <f t="shared" si="2"/>
        <v>80</v>
      </c>
      <c r="B10" s="1">
        <v>22</v>
      </c>
      <c r="C10" s="1">
        <f t="shared" si="0"/>
        <v>2.4</v>
      </c>
      <c r="D10" s="1">
        <v>3.4</v>
      </c>
      <c r="E10" s="1">
        <v>1</v>
      </c>
      <c r="F10" s="1">
        <f t="shared" si="1"/>
        <v>0</v>
      </c>
    </row>
    <row r="11" spans="1:13" x14ac:dyDescent="0.3">
      <c r="A11" s="6">
        <f t="shared" si="2"/>
        <v>90</v>
      </c>
      <c r="B11" s="1">
        <v>22</v>
      </c>
      <c r="C11" s="1">
        <f t="shared" si="0"/>
        <v>3</v>
      </c>
      <c r="D11" s="1">
        <v>4</v>
      </c>
      <c r="E11" s="1">
        <v>1</v>
      </c>
      <c r="F11" s="1">
        <f t="shared" si="1"/>
        <v>0</v>
      </c>
    </row>
    <row r="12" spans="1:13" x14ac:dyDescent="0.3">
      <c r="A12" s="6">
        <f t="shared" si="2"/>
        <v>100</v>
      </c>
      <c r="B12" s="1">
        <v>22</v>
      </c>
      <c r="C12" s="1">
        <f t="shared" si="0"/>
        <v>3.8</v>
      </c>
      <c r="D12" s="1">
        <v>4.8</v>
      </c>
      <c r="E12" s="1">
        <v>1</v>
      </c>
      <c r="F12" s="1">
        <f t="shared" si="1"/>
        <v>0</v>
      </c>
    </row>
    <row r="13" spans="1:13" x14ac:dyDescent="0.3">
      <c r="A13" s="6">
        <f t="shared" si="2"/>
        <v>110</v>
      </c>
      <c r="B13" s="1">
        <v>22</v>
      </c>
      <c r="C13" s="1">
        <f>D13-E13</f>
        <v>4</v>
      </c>
      <c r="D13" s="1">
        <v>5.2</v>
      </c>
      <c r="E13" s="1">
        <v>1.2</v>
      </c>
      <c r="F13" s="1">
        <f t="shared" si="1"/>
        <v>0.19999999999999996</v>
      </c>
    </row>
    <row r="14" spans="1:13" x14ac:dyDescent="0.3">
      <c r="A14" s="6">
        <f t="shared" si="2"/>
        <v>120</v>
      </c>
      <c r="B14" s="1">
        <v>20</v>
      </c>
      <c r="C14" s="1">
        <f t="shared" ref="C14:C18" si="3">D14-E14</f>
        <v>4.1000000000000005</v>
      </c>
      <c r="D14" s="1">
        <v>5.9</v>
      </c>
      <c r="E14" s="1">
        <v>1.8</v>
      </c>
      <c r="F14" s="1">
        <f t="shared" si="1"/>
        <v>0.8</v>
      </c>
    </row>
    <row r="15" spans="1:13" x14ac:dyDescent="0.3">
      <c r="A15" s="6">
        <f t="shared" si="2"/>
        <v>130</v>
      </c>
      <c r="B15" s="1">
        <v>22</v>
      </c>
      <c r="C15" s="1">
        <f t="shared" si="3"/>
        <v>3.9000000000000004</v>
      </c>
      <c r="D15" s="1">
        <v>6.7</v>
      </c>
      <c r="E15" s="1">
        <v>2.8</v>
      </c>
      <c r="F15" s="1">
        <f t="shared" si="1"/>
        <v>1.7999999999999998</v>
      </c>
    </row>
    <row r="16" spans="1:13" x14ac:dyDescent="0.3">
      <c r="A16" s="6">
        <f t="shared" si="2"/>
        <v>140</v>
      </c>
      <c r="B16" s="1">
        <v>22</v>
      </c>
      <c r="C16" s="1">
        <f t="shared" si="3"/>
        <v>4.1999999999999993</v>
      </c>
      <c r="D16" s="1">
        <v>7.6</v>
      </c>
      <c r="E16" s="1">
        <v>3.4</v>
      </c>
      <c r="F16" s="1">
        <f t="shared" si="1"/>
        <v>2.4</v>
      </c>
    </row>
    <row r="17" spans="1:6" x14ac:dyDescent="0.3">
      <c r="A17" s="6">
        <f t="shared" si="2"/>
        <v>150</v>
      </c>
      <c r="B17" s="1">
        <v>22</v>
      </c>
      <c r="C17" s="1">
        <f t="shared" si="3"/>
        <v>4.2</v>
      </c>
      <c r="D17" s="1">
        <v>8.4</v>
      </c>
      <c r="E17" s="1">
        <v>4.2</v>
      </c>
      <c r="F17" s="1">
        <f t="shared" si="1"/>
        <v>3.2</v>
      </c>
    </row>
    <row r="18" spans="1:6" x14ac:dyDescent="0.3">
      <c r="A18" s="6">
        <f t="shared" si="2"/>
        <v>160</v>
      </c>
      <c r="B18" s="1">
        <v>22</v>
      </c>
      <c r="C18" s="7">
        <f t="shared" si="3"/>
        <v>4.1999999999999993</v>
      </c>
      <c r="D18" s="1">
        <v>9.1999999999999993</v>
      </c>
      <c r="E18" s="1">
        <v>5</v>
      </c>
      <c r="F18" s="1">
        <f t="shared" si="1"/>
        <v>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907AB-55D4-44AB-AADE-AEAE4D7AC390}">
  <dimension ref="A1:I15"/>
  <sheetViews>
    <sheetView workbookViewId="0">
      <selection sqref="A1:D15"/>
    </sheetView>
  </sheetViews>
  <sheetFormatPr defaultRowHeight="14.4" x14ac:dyDescent="0.3"/>
  <cols>
    <col min="8" max="8" width="12" bestFit="1" customWidth="1"/>
  </cols>
  <sheetData>
    <row r="1" spans="1:9" x14ac:dyDescent="0.3">
      <c r="A1" s="6" t="s">
        <v>21</v>
      </c>
      <c r="B1" s="4" t="s">
        <v>23</v>
      </c>
      <c r="C1" s="4" t="s">
        <v>22</v>
      </c>
      <c r="D1" s="4" t="s">
        <v>40</v>
      </c>
      <c r="H1" t="s">
        <v>37</v>
      </c>
    </row>
    <row r="2" spans="1:9" x14ac:dyDescent="0.3">
      <c r="A2" s="6">
        <v>0</v>
      </c>
      <c r="B2" s="1">
        <v>0</v>
      </c>
      <c r="C2" s="1">
        <v>1</v>
      </c>
      <c r="D2" s="1">
        <v>0</v>
      </c>
      <c r="H2">
        <f>(5*0.507*0.100156*0.000000001)/(60*60*1119.36*598675*0.000001)</f>
        <v>1.0524259014783691E-16</v>
      </c>
      <c r="I2" t="s">
        <v>32</v>
      </c>
    </row>
    <row r="3" spans="1:9" x14ac:dyDescent="0.3">
      <c r="A3" s="6">
        <f>A2+10</f>
        <v>10</v>
      </c>
      <c r="B3" s="1">
        <v>1</v>
      </c>
      <c r="C3" s="1">
        <v>1</v>
      </c>
      <c r="D3" s="1">
        <f t="shared" ref="D3:D15" si="0">(C3-C2)*6</f>
        <v>0</v>
      </c>
      <c r="H3" s="3">
        <f>H2*1013250000000000</f>
        <v>0.10663705446729575</v>
      </c>
      <c r="I3" t="s">
        <v>31</v>
      </c>
    </row>
    <row r="4" spans="1:9" x14ac:dyDescent="0.3">
      <c r="A4" s="6">
        <f t="shared" ref="A4:A15" si="1">A3+10</f>
        <v>20</v>
      </c>
      <c r="B4" s="1">
        <v>3</v>
      </c>
      <c r="C4" s="1">
        <v>1</v>
      </c>
      <c r="D4" s="1">
        <f t="shared" si="0"/>
        <v>0</v>
      </c>
    </row>
    <row r="5" spans="1:9" x14ac:dyDescent="0.3">
      <c r="A5" s="6">
        <f t="shared" si="1"/>
        <v>30</v>
      </c>
      <c r="B5" s="1">
        <v>7</v>
      </c>
      <c r="C5" s="1">
        <v>1</v>
      </c>
      <c r="D5" s="1">
        <f t="shared" si="0"/>
        <v>0</v>
      </c>
    </row>
    <row r="6" spans="1:9" x14ac:dyDescent="0.3">
      <c r="A6" s="6">
        <f t="shared" si="1"/>
        <v>40</v>
      </c>
      <c r="B6" s="1">
        <v>7</v>
      </c>
      <c r="C6" s="1">
        <v>1</v>
      </c>
      <c r="D6" s="1">
        <f t="shared" si="0"/>
        <v>0</v>
      </c>
    </row>
    <row r="7" spans="1:9" x14ac:dyDescent="0.3">
      <c r="A7" s="6">
        <f t="shared" si="1"/>
        <v>50</v>
      </c>
      <c r="B7" s="1">
        <v>7</v>
      </c>
      <c r="C7" s="1">
        <v>1</v>
      </c>
      <c r="D7" s="1">
        <f t="shared" si="0"/>
        <v>0</v>
      </c>
    </row>
    <row r="8" spans="1:9" x14ac:dyDescent="0.3">
      <c r="A8" s="6">
        <f t="shared" si="1"/>
        <v>60</v>
      </c>
      <c r="B8" s="1">
        <v>6</v>
      </c>
      <c r="C8" s="1">
        <v>1.2</v>
      </c>
      <c r="D8" s="1">
        <f t="shared" si="0"/>
        <v>1.1999999999999997</v>
      </c>
    </row>
    <row r="9" spans="1:9" x14ac:dyDescent="0.3">
      <c r="A9" s="6">
        <f t="shared" si="1"/>
        <v>70</v>
      </c>
      <c r="B9" s="1">
        <v>7</v>
      </c>
      <c r="C9" s="1">
        <v>2.2000000000000002</v>
      </c>
      <c r="D9" s="1">
        <f t="shared" si="0"/>
        <v>6.0000000000000018</v>
      </c>
    </row>
    <row r="10" spans="1:9" x14ac:dyDescent="0.3">
      <c r="A10" s="6">
        <f t="shared" si="1"/>
        <v>80</v>
      </c>
      <c r="B10" s="1">
        <v>7</v>
      </c>
      <c r="C10" s="1">
        <v>3</v>
      </c>
      <c r="D10" s="1">
        <f t="shared" si="0"/>
        <v>4.7999999999999989</v>
      </c>
    </row>
    <row r="11" spans="1:9" x14ac:dyDescent="0.3">
      <c r="A11" s="6">
        <f t="shared" si="1"/>
        <v>90</v>
      </c>
      <c r="B11" s="1">
        <v>7</v>
      </c>
      <c r="C11" s="1">
        <v>3.8</v>
      </c>
      <c r="D11" s="1">
        <f t="shared" si="0"/>
        <v>4.7999999999999989</v>
      </c>
    </row>
    <row r="12" spans="1:9" x14ac:dyDescent="0.3">
      <c r="A12" s="6">
        <f t="shared" si="1"/>
        <v>100</v>
      </c>
      <c r="B12" s="1">
        <v>7</v>
      </c>
      <c r="C12" s="1">
        <v>4.7</v>
      </c>
      <c r="D12" s="1">
        <f t="shared" si="0"/>
        <v>5.4000000000000021</v>
      </c>
    </row>
    <row r="13" spans="1:9" x14ac:dyDescent="0.3">
      <c r="A13" s="6">
        <f t="shared" si="1"/>
        <v>110</v>
      </c>
      <c r="B13" s="1">
        <v>7</v>
      </c>
      <c r="C13" s="1">
        <v>5.5</v>
      </c>
      <c r="D13" s="1">
        <f t="shared" si="0"/>
        <v>4.7999999999999989</v>
      </c>
    </row>
    <row r="14" spans="1:9" x14ac:dyDescent="0.3">
      <c r="A14" s="6">
        <f t="shared" si="1"/>
        <v>120</v>
      </c>
      <c r="B14" s="1">
        <v>7</v>
      </c>
      <c r="C14" s="1">
        <v>6.2</v>
      </c>
      <c r="D14" s="1">
        <f t="shared" si="0"/>
        <v>4.2000000000000011</v>
      </c>
    </row>
    <row r="15" spans="1:9" x14ac:dyDescent="0.3">
      <c r="A15" s="6">
        <f t="shared" si="1"/>
        <v>130</v>
      </c>
      <c r="B15" s="1">
        <v>7</v>
      </c>
      <c r="C15" s="1">
        <v>7</v>
      </c>
      <c r="D15" s="1">
        <f t="shared" si="0"/>
        <v>4.7999999999999989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FFE2E-CD2D-410D-BF8C-8095F74B3F82}">
  <dimension ref="A1:L23"/>
  <sheetViews>
    <sheetView workbookViewId="0">
      <selection sqref="A1:G23"/>
    </sheetView>
  </sheetViews>
  <sheetFormatPr defaultRowHeight="14.4" x14ac:dyDescent="0.3"/>
  <cols>
    <col min="11" max="11" width="12" bestFit="1" customWidth="1"/>
  </cols>
  <sheetData>
    <row r="1" spans="1:12" x14ac:dyDescent="0.3">
      <c r="A1" s="6" t="s">
        <v>25</v>
      </c>
      <c r="B1" s="4" t="s">
        <v>26</v>
      </c>
      <c r="C1" s="4" t="s">
        <v>22</v>
      </c>
      <c r="D1" s="4" t="s">
        <v>28</v>
      </c>
      <c r="E1" s="4" t="s">
        <v>27</v>
      </c>
      <c r="F1" s="4" t="s">
        <v>38</v>
      </c>
      <c r="G1" s="4" t="s">
        <v>35</v>
      </c>
      <c r="K1" t="s">
        <v>39</v>
      </c>
    </row>
    <row r="2" spans="1:12" x14ac:dyDescent="0.3">
      <c r="A2" s="6">
        <v>0</v>
      </c>
      <c r="B2" s="1">
        <v>1</v>
      </c>
      <c r="C2" s="1">
        <f t="shared" ref="C2:C15" si="0">D2-1-E2</f>
        <v>0</v>
      </c>
      <c r="D2" s="1">
        <v>1</v>
      </c>
      <c r="E2" s="1"/>
      <c r="F2" s="1">
        <v>0</v>
      </c>
      <c r="G2" s="1">
        <f>(E3-E2)*0.000001/60*10</f>
        <v>0</v>
      </c>
      <c r="K2">
        <f>(5*0.51*0.100156*0.000000001)/(60*60*1119.36*898675*0.000001)</f>
        <v>7.0524855884302794E-17</v>
      </c>
      <c r="L2" t="s">
        <v>32</v>
      </c>
    </row>
    <row r="3" spans="1:12" x14ac:dyDescent="0.3">
      <c r="A3" s="6">
        <f>A2+10</f>
        <v>10</v>
      </c>
      <c r="B3" s="1">
        <v>2</v>
      </c>
      <c r="C3" s="1">
        <f t="shared" si="0"/>
        <v>0</v>
      </c>
      <c r="D3" s="1">
        <v>1</v>
      </c>
      <c r="E3" s="1"/>
      <c r="F3" s="1">
        <f>((C3-C2)*0.000001)/(10*60)</f>
        <v>0</v>
      </c>
      <c r="G3" s="1">
        <f>((E4-E3)*0.000001)/(60*10)</f>
        <v>0</v>
      </c>
      <c r="K3" s="3">
        <f>K2*1013250000000000</f>
        <v>7.1459310224769812E-2</v>
      </c>
      <c r="L3" t="s">
        <v>31</v>
      </c>
    </row>
    <row r="4" spans="1:12" x14ac:dyDescent="0.3">
      <c r="A4" s="6">
        <f t="shared" ref="A4:A23" si="1">A3+10</f>
        <v>20</v>
      </c>
      <c r="B4" s="1">
        <v>4</v>
      </c>
      <c r="C4" s="1">
        <f t="shared" si="0"/>
        <v>0.19999999999999996</v>
      </c>
      <c r="D4" s="1">
        <v>1.2</v>
      </c>
      <c r="E4" s="1"/>
      <c r="F4" s="1">
        <f t="shared" ref="F4:F18" si="2">((C4-C3)*0.000001)/(10*60)</f>
        <v>3.3333333333333322E-10</v>
      </c>
      <c r="G4" s="1">
        <f t="shared" ref="G4:G22" si="3">((E5-E4)*0.000001)/(60*10)</f>
        <v>0</v>
      </c>
    </row>
    <row r="5" spans="1:12" x14ac:dyDescent="0.3">
      <c r="A5" s="6">
        <f t="shared" si="1"/>
        <v>30</v>
      </c>
      <c r="B5" s="1">
        <v>7</v>
      </c>
      <c r="C5" s="1">
        <f t="shared" si="0"/>
        <v>0.19999999999999996</v>
      </c>
      <c r="D5" s="1">
        <v>1.2</v>
      </c>
      <c r="E5" s="1"/>
      <c r="F5" s="1">
        <f t="shared" si="2"/>
        <v>0</v>
      </c>
      <c r="G5" s="1">
        <f t="shared" si="3"/>
        <v>0</v>
      </c>
    </row>
    <row r="6" spans="1:12" x14ac:dyDescent="0.3">
      <c r="A6" s="6">
        <f t="shared" si="1"/>
        <v>40</v>
      </c>
      <c r="B6" s="1">
        <v>8</v>
      </c>
      <c r="C6" s="1">
        <f t="shared" si="0"/>
        <v>0.39999999999999991</v>
      </c>
      <c r="D6" s="1">
        <v>1.4</v>
      </c>
      <c r="E6" s="1"/>
      <c r="F6" s="1">
        <f t="shared" si="2"/>
        <v>3.3333333333333322E-10</v>
      </c>
      <c r="G6" s="1">
        <f t="shared" si="3"/>
        <v>0</v>
      </c>
    </row>
    <row r="7" spans="1:12" x14ac:dyDescent="0.3">
      <c r="A7" s="6">
        <f t="shared" si="1"/>
        <v>50</v>
      </c>
      <c r="B7" s="1">
        <v>10</v>
      </c>
      <c r="C7" s="1">
        <f t="shared" si="0"/>
        <v>1.1000000000000001</v>
      </c>
      <c r="D7" s="1">
        <v>2.1</v>
      </c>
      <c r="E7" s="1"/>
      <c r="F7" s="1">
        <f t="shared" si="2"/>
        <v>1.166666666666667E-9</v>
      </c>
      <c r="G7" s="1">
        <f t="shared" si="3"/>
        <v>0</v>
      </c>
    </row>
    <row r="8" spans="1:12" x14ac:dyDescent="0.3">
      <c r="A8" s="6">
        <f t="shared" si="1"/>
        <v>60</v>
      </c>
      <c r="B8" s="1">
        <v>11</v>
      </c>
      <c r="C8" s="1">
        <f t="shared" si="0"/>
        <v>1.7999999999999998</v>
      </c>
      <c r="D8" s="1">
        <v>2.8</v>
      </c>
      <c r="E8" s="1"/>
      <c r="F8" s="1">
        <f t="shared" si="2"/>
        <v>1.1666666666666662E-9</v>
      </c>
      <c r="G8" s="1">
        <f t="shared" si="3"/>
        <v>0</v>
      </c>
    </row>
    <row r="9" spans="1:12" x14ac:dyDescent="0.3">
      <c r="A9" s="6">
        <f t="shared" si="1"/>
        <v>70</v>
      </c>
      <c r="B9" s="1">
        <v>11</v>
      </c>
      <c r="C9" s="1">
        <f t="shared" si="0"/>
        <v>2.6</v>
      </c>
      <c r="D9" s="1">
        <v>3.6</v>
      </c>
      <c r="E9" s="1"/>
      <c r="F9" s="1">
        <f t="shared" si="2"/>
        <v>1.3333333333333339E-9</v>
      </c>
      <c r="G9" s="1">
        <f t="shared" si="3"/>
        <v>0</v>
      </c>
    </row>
    <row r="10" spans="1:12" x14ac:dyDescent="0.3">
      <c r="A10" s="6">
        <f t="shared" si="1"/>
        <v>80</v>
      </c>
      <c r="B10" s="1">
        <v>12</v>
      </c>
      <c r="C10" s="1">
        <f t="shared" si="0"/>
        <v>3</v>
      </c>
      <c r="D10" s="1">
        <v>4</v>
      </c>
      <c r="E10" s="1"/>
      <c r="F10" s="1">
        <f t="shared" si="2"/>
        <v>6.6666666666666643E-10</v>
      </c>
      <c r="G10" s="1">
        <f t="shared" si="3"/>
        <v>0</v>
      </c>
    </row>
    <row r="11" spans="1:12" x14ac:dyDescent="0.3">
      <c r="A11" s="6">
        <f t="shared" si="1"/>
        <v>90</v>
      </c>
      <c r="B11" s="1">
        <v>12</v>
      </c>
      <c r="C11" s="1">
        <f t="shared" si="0"/>
        <v>3.7</v>
      </c>
      <c r="D11" s="1">
        <v>4.7</v>
      </c>
      <c r="E11" s="1"/>
      <c r="F11" s="1">
        <f t="shared" si="2"/>
        <v>1.166666666666667E-9</v>
      </c>
      <c r="G11" s="1">
        <f t="shared" si="3"/>
        <v>0</v>
      </c>
    </row>
    <row r="12" spans="1:12" x14ac:dyDescent="0.3">
      <c r="A12" s="6">
        <f t="shared" si="1"/>
        <v>100</v>
      </c>
      <c r="B12" s="1">
        <v>12</v>
      </c>
      <c r="C12" s="1">
        <f t="shared" si="0"/>
        <v>4.5</v>
      </c>
      <c r="D12" s="1">
        <v>5.5</v>
      </c>
      <c r="E12" s="1"/>
      <c r="F12" s="1">
        <f t="shared" si="2"/>
        <v>1.3333333333333329E-9</v>
      </c>
      <c r="G12" s="1">
        <f t="shared" si="3"/>
        <v>0</v>
      </c>
    </row>
    <row r="13" spans="1:12" x14ac:dyDescent="0.3">
      <c r="A13" s="6">
        <f t="shared" si="1"/>
        <v>110</v>
      </c>
      <c r="B13" s="1">
        <v>13</v>
      </c>
      <c r="C13" s="1">
        <f t="shared" si="0"/>
        <v>5.3</v>
      </c>
      <c r="D13" s="1">
        <v>6.3</v>
      </c>
      <c r="E13" s="1"/>
      <c r="F13" s="1">
        <f t="shared" si="2"/>
        <v>1.3333333333333329E-9</v>
      </c>
      <c r="G13" s="1">
        <f t="shared" si="3"/>
        <v>0</v>
      </c>
    </row>
    <row r="14" spans="1:12" x14ac:dyDescent="0.3">
      <c r="A14" s="6">
        <f t="shared" si="1"/>
        <v>120</v>
      </c>
      <c r="B14" s="1">
        <v>12</v>
      </c>
      <c r="C14" s="1">
        <f t="shared" si="0"/>
        <v>6.2</v>
      </c>
      <c r="D14" s="1">
        <v>7.2</v>
      </c>
      <c r="E14" s="1"/>
      <c r="F14" s="1">
        <f t="shared" si="2"/>
        <v>1.5000000000000004E-9</v>
      </c>
      <c r="G14" s="1">
        <f t="shared" si="3"/>
        <v>0</v>
      </c>
    </row>
    <row r="15" spans="1:12" x14ac:dyDescent="0.3">
      <c r="A15" s="6">
        <f t="shared" si="1"/>
        <v>130</v>
      </c>
      <c r="B15" s="1">
        <v>12</v>
      </c>
      <c r="C15" s="1">
        <f t="shared" si="0"/>
        <v>7.6</v>
      </c>
      <c r="D15" s="1">
        <v>8.6</v>
      </c>
      <c r="E15" s="1"/>
      <c r="F15" s="1">
        <f t="shared" si="2"/>
        <v>2.3333333333333323E-9</v>
      </c>
      <c r="G15" s="1">
        <f t="shared" si="3"/>
        <v>4.9999999999999993E-10</v>
      </c>
    </row>
    <row r="16" spans="1:12" x14ac:dyDescent="0.3">
      <c r="A16" s="6">
        <f t="shared" si="1"/>
        <v>140</v>
      </c>
      <c r="B16" s="1">
        <v>12</v>
      </c>
      <c r="C16" s="1">
        <f>D16-1-E16</f>
        <v>8.2999999999999989</v>
      </c>
      <c r="D16" s="1">
        <v>9.6</v>
      </c>
      <c r="E16" s="1">
        <v>0.3</v>
      </c>
      <c r="F16" s="1">
        <f t="shared" si="2"/>
        <v>1.1666666666666653E-9</v>
      </c>
      <c r="G16" s="1">
        <f t="shared" si="3"/>
        <v>1.1666666666666666E-9</v>
      </c>
    </row>
    <row r="17" spans="1:7" x14ac:dyDescent="0.3">
      <c r="A17" s="6">
        <f t="shared" si="1"/>
        <v>150</v>
      </c>
      <c r="B17" s="1">
        <v>12</v>
      </c>
      <c r="C17" s="1">
        <v>8.3000000000000007</v>
      </c>
      <c r="D17" s="1">
        <v>2</v>
      </c>
      <c r="E17" s="1">
        <f>D17-1</f>
        <v>1</v>
      </c>
      <c r="F17" s="1">
        <f t="shared" si="2"/>
        <v>2.9605947323337505E-24</v>
      </c>
      <c r="G17" s="1">
        <f t="shared" si="3"/>
        <v>1.3333333333333329E-9</v>
      </c>
    </row>
    <row r="18" spans="1:7" x14ac:dyDescent="0.3">
      <c r="A18" s="6">
        <f t="shared" si="1"/>
        <v>160</v>
      </c>
      <c r="B18" s="1">
        <v>11</v>
      </c>
      <c r="C18" s="4">
        <v>8.3000000000000007</v>
      </c>
      <c r="D18" s="1">
        <v>2.8</v>
      </c>
      <c r="E18" s="1">
        <f>D18-1</f>
        <v>1.7999999999999998</v>
      </c>
      <c r="F18" s="1">
        <f t="shared" si="2"/>
        <v>0</v>
      </c>
      <c r="G18" s="1">
        <f t="shared" si="3"/>
        <v>6.6666666666666726E-10</v>
      </c>
    </row>
    <row r="19" spans="1:7" x14ac:dyDescent="0.3">
      <c r="A19" s="6">
        <f t="shared" si="1"/>
        <v>170</v>
      </c>
      <c r="B19" s="1">
        <v>11</v>
      </c>
      <c r="C19" s="1"/>
      <c r="D19" s="1">
        <v>3.2</v>
      </c>
      <c r="E19" s="1">
        <f>D19-1</f>
        <v>2.2000000000000002</v>
      </c>
      <c r="F19" s="1">
        <v>0</v>
      </c>
      <c r="G19" s="1">
        <f t="shared" si="3"/>
        <v>9.9999999999999944E-10</v>
      </c>
    </row>
    <row r="20" spans="1:7" x14ac:dyDescent="0.3">
      <c r="A20" s="6">
        <f t="shared" si="1"/>
        <v>180</v>
      </c>
      <c r="B20" s="1">
        <v>10</v>
      </c>
      <c r="C20" s="1"/>
      <c r="D20" s="1">
        <v>3.8</v>
      </c>
      <c r="E20" s="1">
        <f>D20-1</f>
        <v>2.8</v>
      </c>
      <c r="F20" s="1">
        <f t="shared" ref="F20:F23" si="4">(C20-C19)*0.001/10*60</f>
        <v>0</v>
      </c>
      <c r="G20" s="1">
        <f t="shared" si="3"/>
        <v>1.6666666666666665E-9</v>
      </c>
    </row>
    <row r="21" spans="1:7" x14ac:dyDescent="0.3">
      <c r="A21" s="6">
        <f t="shared" si="1"/>
        <v>190</v>
      </c>
      <c r="B21" s="1">
        <v>10</v>
      </c>
      <c r="C21" s="1"/>
      <c r="D21" s="1">
        <v>4.8</v>
      </c>
      <c r="E21" s="1">
        <f>D21-1</f>
        <v>3.8</v>
      </c>
      <c r="F21" s="1">
        <f t="shared" si="4"/>
        <v>0</v>
      </c>
      <c r="G21" s="1">
        <f t="shared" si="3"/>
        <v>6.6666666666666726E-10</v>
      </c>
    </row>
    <row r="22" spans="1:7" x14ac:dyDescent="0.3">
      <c r="A22" s="6">
        <f t="shared" si="1"/>
        <v>200</v>
      </c>
      <c r="B22" s="1">
        <v>10</v>
      </c>
      <c r="C22" s="1"/>
      <c r="D22" s="1">
        <v>5.4</v>
      </c>
      <c r="E22" s="1">
        <f>D22-1-0.2</f>
        <v>4.2</v>
      </c>
      <c r="F22" s="1">
        <f t="shared" si="4"/>
        <v>0</v>
      </c>
      <c r="G22" s="1">
        <f t="shared" si="3"/>
        <v>9.9999999999999944E-10</v>
      </c>
    </row>
    <row r="23" spans="1:7" x14ac:dyDescent="0.3">
      <c r="A23" s="6">
        <f t="shared" si="1"/>
        <v>210</v>
      </c>
      <c r="B23" s="1">
        <v>10</v>
      </c>
      <c r="C23" s="1"/>
      <c r="D23" s="1">
        <v>6</v>
      </c>
      <c r="E23" s="1">
        <f>D23-1-0.2</f>
        <v>4.8</v>
      </c>
      <c r="F23" s="1">
        <f t="shared" si="4"/>
        <v>0</v>
      </c>
      <c r="G23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13B67-65AE-469B-89F3-6D75BD9934B4}">
  <dimension ref="A1:J14"/>
  <sheetViews>
    <sheetView workbookViewId="0">
      <selection sqref="A1:F14"/>
    </sheetView>
  </sheetViews>
  <sheetFormatPr defaultRowHeight="14.4" x14ac:dyDescent="0.3"/>
  <sheetData>
    <row r="1" spans="1:10" x14ac:dyDescent="0.3">
      <c r="A1" s="6" t="s">
        <v>25</v>
      </c>
      <c r="B1" s="4" t="s">
        <v>26</v>
      </c>
      <c r="C1" s="4" t="s">
        <v>27</v>
      </c>
      <c r="D1" s="4" t="s">
        <v>28</v>
      </c>
      <c r="E1" s="4" t="s">
        <v>29</v>
      </c>
      <c r="F1" s="4" t="s">
        <v>33</v>
      </c>
      <c r="J1" t="s">
        <v>43</v>
      </c>
    </row>
    <row r="2" spans="1:10" x14ac:dyDescent="0.3">
      <c r="A2" s="6">
        <v>0</v>
      </c>
      <c r="B2" s="1">
        <v>1</v>
      </c>
      <c r="C2" s="1">
        <v>0</v>
      </c>
      <c r="D2" s="1">
        <v>1</v>
      </c>
      <c r="E2" s="1">
        <v>1</v>
      </c>
      <c r="F2" s="1">
        <f>D2-E2</f>
        <v>0</v>
      </c>
      <c r="J2" s="3">
        <f>(3/8.3)*100</f>
        <v>36.144578313253007</v>
      </c>
    </row>
    <row r="3" spans="1:10" x14ac:dyDescent="0.3">
      <c r="A3" s="6">
        <f>A2+10</f>
        <v>10</v>
      </c>
      <c r="B3" s="1">
        <v>17</v>
      </c>
      <c r="C3" s="1">
        <v>0.2</v>
      </c>
      <c r="D3" s="1">
        <v>1.2</v>
      </c>
      <c r="E3" s="1">
        <v>1</v>
      </c>
      <c r="F3" s="1">
        <v>0</v>
      </c>
    </row>
    <row r="4" spans="1:10" x14ac:dyDescent="0.3">
      <c r="A4" s="6">
        <f t="shared" ref="A4:A14" si="0">A3+10</f>
        <v>20</v>
      </c>
      <c r="B4" s="1">
        <v>21</v>
      </c>
      <c r="C4" s="1">
        <f>D4-1</f>
        <v>0.7</v>
      </c>
      <c r="D4" s="1">
        <v>1.7</v>
      </c>
      <c r="E4" s="1">
        <v>1</v>
      </c>
      <c r="F4" s="1">
        <v>0</v>
      </c>
    </row>
    <row r="5" spans="1:10" x14ac:dyDescent="0.3">
      <c r="A5" s="6">
        <f t="shared" si="0"/>
        <v>30</v>
      </c>
      <c r="B5" s="1">
        <v>24</v>
      </c>
      <c r="C5" s="1">
        <f>D5-1</f>
        <v>1.2000000000000002</v>
      </c>
      <c r="D5" s="1">
        <v>2.2000000000000002</v>
      </c>
      <c r="E5" s="1">
        <v>1</v>
      </c>
      <c r="F5" s="1">
        <v>0</v>
      </c>
    </row>
    <row r="6" spans="1:10" x14ac:dyDescent="0.3">
      <c r="A6" s="6">
        <f t="shared" si="0"/>
        <v>40</v>
      </c>
      <c r="B6" s="1">
        <v>28</v>
      </c>
      <c r="C6" s="1">
        <f>D6-1</f>
        <v>1.4</v>
      </c>
      <c r="D6" s="1">
        <v>2.4</v>
      </c>
      <c r="E6" s="1">
        <v>1</v>
      </c>
      <c r="F6" s="1">
        <v>0</v>
      </c>
    </row>
    <row r="7" spans="1:10" x14ac:dyDescent="0.3">
      <c r="A7" s="6">
        <f t="shared" si="0"/>
        <v>50</v>
      </c>
      <c r="B7" s="1">
        <v>28</v>
      </c>
      <c r="C7" s="1">
        <f t="shared" ref="C7:C10" si="1">D7-1</f>
        <v>1.7999999999999998</v>
      </c>
      <c r="D7" s="1">
        <v>2.8</v>
      </c>
      <c r="E7" s="1">
        <v>1</v>
      </c>
      <c r="F7" s="1">
        <v>0</v>
      </c>
    </row>
    <row r="8" spans="1:10" x14ac:dyDescent="0.3">
      <c r="A8" s="6">
        <f t="shared" si="0"/>
        <v>60</v>
      </c>
      <c r="B8" s="1">
        <v>28</v>
      </c>
      <c r="C8" s="1">
        <f t="shared" si="1"/>
        <v>2.4</v>
      </c>
      <c r="D8" s="1">
        <v>3.4</v>
      </c>
      <c r="E8" s="1">
        <v>1</v>
      </c>
      <c r="F8" s="1">
        <v>0</v>
      </c>
    </row>
    <row r="9" spans="1:10" x14ac:dyDescent="0.3">
      <c r="A9" s="6">
        <f t="shared" si="0"/>
        <v>70</v>
      </c>
      <c r="B9" s="1">
        <v>28</v>
      </c>
      <c r="C9" s="1">
        <f t="shared" si="1"/>
        <v>2.8</v>
      </c>
      <c r="D9" s="1">
        <v>3.8</v>
      </c>
      <c r="E9" s="1">
        <v>1</v>
      </c>
      <c r="F9" s="1">
        <v>0</v>
      </c>
    </row>
    <row r="10" spans="1:10" x14ac:dyDescent="0.3">
      <c r="A10" s="6">
        <f t="shared" si="0"/>
        <v>80</v>
      </c>
      <c r="B10" s="1">
        <v>28</v>
      </c>
      <c r="C10" s="1">
        <f t="shared" si="1"/>
        <v>2.8</v>
      </c>
      <c r="D10" s="1">
        <v>3.8</v>
      </c>
      <c r="E10" s="1">
        <v>1</v>
      </c>
      <c r="F10" s="1">
        <v>0</v>
      </c>
    </row>
    <row r="11" spans="1:10" x14ac:dyDescent="0.3">
      <c r="A11" s="6">
        <f t="shared" si="0"/>
        <v>90</v>
      </c>
      <c r="B11" s="1">
        <v>28</v>
      </c>
      <c r="C11" s="1">
        <v>3</v>
      </c>
      <c r="D11" s="1">
        <v>4.4000000000000004</v>
      </c>
      <c r="E11" s="1">
        <v>1.4</v>
      </c>
      <c r="F11" s="1">
        <v>0.4</v>
      </c>
    </row>
    <row r="12" spans="1:10" x14ac:dyDescent="0.3">
      <c r="A12" s="6">
        <f t="shared" si="0"/>
        <v>100</v>
      </c>
      <c r="B12" s="1">
        <v>28</v>
      </c>
      <c r="C12" s="1">
        <v>3</v>
      </c>
      <c r="D12" s="1">
        <v>5</v>
      </c>
      <c r="E12" s="1">
        <v>2</v>
      </c>
      <c r="F12" s="1">
        <v>1</v>
      </c>
    </row>
    <row r="13" spans="1:10" x14ac:dyDescent="0.3">
      <c r="A13" s="6">
        <f t="shared" si="0"/>
        <v>110</v>
      </c>
      <c r="B13" s="1">
        <v>26</v>
      </c>
      <c r="C13" s="1">
        <v>3</v>
      </c>
      <c r="D13" s="1">
        <v>6</v>
      </c>
      <c r="E13" s="1">
        <v>3</v>
      </c>
      <c r="F13" s="1">
        <v>2</v>
      </c>
    </row>
    <row r="14" spans="1:10" x14ac:dyDescent="0.3">
      <c r="A14" s="6">
        <f t="shared" si="0"/>
        <v>120</v>
      </c>
      <c r="B14" s="1">
        <v>26</v>
      </c>
      <c r="C14" s="7">
        <v>3</v>
      </c>
      <c r="D14" s="1">
        <v>6.6</v>
      </c>
      <c r="E14" s="1">
        <v>3.6</v>
      </c>
      <c r="F14" s="1">
        <v>2.6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7D069-E51D-4BE9-A989-398B2A3625EC}">
  <dimension ref="A1:J13"/>
  <sheetViews>
    <sheetView workbookViewId="0">
      <selection sqref="A1:D13"/>
    </sheetView>
  </sheetViews>
  <sheetFormatPr defaultRowHeight="14.4" x14ac:dyDescent="0.3"/>
  <cols>
    <col min="9" max="9" width="12" bestFit="1" customWidth="1"/>
  </cols>
  <sheetData>
    <row r="1" spans="1:10" x14ac:dyDescent="0.3">
      <c r="A1" s="6" t="s">
        <v>52</v>
      </c>
      <c r="B1" s="4" t="s">
        <v>23</v>
      </c>
      <c r="C1" s="4" t="s">
        <v>22</v>
      </c>
      <c r="D1" s="4" t="s">
        <v>40</v>
      </c>
      <c r="I1" t="s">
        <v>41</v>
      </c>
    </row>
    <row r="2" spans="1:10" x14ac:dyDescent="0.3">
      <c r="A2" s="6">
        <v>0</v>
      </c>
      <c r="B2" s="1">
        <v>0</v>
      </c>
      <c r="C2" s="1">
        <v>1</v>
      </c>
      <c r="D2" s="1">
        <v>0</v>
      </c>
      <c r="I2">
        <f>(5*0.387*0.100036*0.000000001)/(60*60*1119.716*298675*0.000001)</f>
        <v>1.607785212936202E-16</v>
      </c>
      <c r="J2" t="s">
        <v>32</v>
      </c>
    </row>
    <row r="3" spans="1:10" x14ac:dyDescent="0.3">
      <c r="A3" s="6">
        <f>A2+10</f>
        <v>10</v>
      </c>
      <c r="B3" s="1">
        <v>3</v>
      </c>
      <c r="C3" s="1">
        <v>1</v>
      </c>
      <c r="D3" s="1">
        <f>(C3-C2)*6</f>
        <v>0</v>
      </c>
      <c r="I3" s="3">
        <f>I2*1013250000000000</f>
        <v>0.16290883670076067</v>
      </c>
      <c r="J3" t="s">
        <v>31</v>
      </c>
    </row>
    <row r="4" spans="1:10" x14ac:dyDescent="0.3">
      <c r="A4" s="6">
        <f t="shared" ref="A4:A13" si="0">A3+10</f>
        <v>20</v>
      </c>
      <c r="B4" s="1">
        <v>4</v>
      </c>
      <c r="C4" s="1">
        <v>1</v>
      </c>
      <c r="D4" s="1">
        <f t="shared" ref="D4:D13" si="1">(C4-C3)*6</f>
        <v>0</v>
      </c>
    </row>
    <row r="5" spans="1:10" x14ac:dyDescent="0.3">
      <c r="A5" s="6">
        <f t="shared" si="0"/>
        <v>30</v>
      </c>
      <c r="B5" s="1">
        <v>4</v>
      </c>
      <c r="C5" s="1">
        <v>1</v>
      </c>
      <c r="D5" s="1">
        <f t="shared" si="1"/>
        <v>0</v>
      </c>
    </row>
    <row r="6" spans="1:10" x14ac:dyDescent="0.3">
      <c r="A6" s="6">
        <f t="shared" si="0"/>
        <v>40</v>
      </c>
      <c r="B6" s="1">
        <v>4</v>
      </c>
      <c r="C6" s="1">
        <v>1.5</v>
      </c>
      <c r="D6" s="1">
        <f t="shared" si="1"/>
        <v>3</v>
      </c>
    </row>
    <row r="7" spans="1:10" x14ac:dyDescent="0.3">
      <c r="A7" s="6">
        <f t="shared" si="0"/>
        <v>50</v>
      </c>
      <c r="B7" s="1">
        <v>4</v>
      </c>
      <c r="C7" s="1">
        <v>2.2999999999999998</v>
      </c>
      <c r="D7" s="1">
        <f t="shared" si="1"/>
        <v>4.7999999999999989</v>
      </c>
    </row>
    <row r="8" spans="1:10" x14ac:dyDescent="0.3">
      <c r="A8" s="6">
        <f t="shared" si="0"/>
        <v>60</v>
      </c>
      <c r="B8" s="1">
        <v>4</v>
      </c>
      <c r="C8" s="1">
        <v>3.2</v>
      </c>
      <c r="D8" s="1">
        <f>(C8-C7)*6</f>
        <v>5.4000000000000021</v>
      </c>
    </row>
    <row r="9" spans="1:10" x14ac:dyDescent="0.3">
      <c r="A9" s="6">
        <f t="shared" si="0"/>
        <v>70</v>
      </c>
      <c r="B9" s="1">
        <v>4</v>
      </c>
      <c r="C9" s="1">
        <v>4</v>
      </c>
      <c r="D9" s="1">
        <f t="shared" si="1"/>
        <v>4.7999999999999989</v>
      </c>
    </row>
    <row r="10" spans="1:10" x14ac:dyDescent="0.3">
      <c r="A10" s="6">
        <f t="shared" si="0"/>
        <v>80</v>
      </c>
      <c r="B10" s="1">
        <v>4</v>
      </c>
      <c r="C10" s="1">
        <v>4.9000000000000004</v>
      </c>
      <c r="D10" s="1">
        <f t="shared" si="1"/>
        <v>5.4000000000000021</v>
      </c>
    </row>
    <row r="11" spans="1:10" x14ac:dyDescent="0.3">
      <c r="A11" s="6">
        <f t="shared" si="0"/>
        <v>90</v>
      </c>
      <c r="B11" s="1">
        <v>4</v>
      </c>
      <c r="C11" s="1">
        <v>5.8</v>
      </c>
      <c r="D11" s="1">
        <f t="shared" si="1"/>
        <v>5.3999999999999968</v>
      </c>
    </row>
    <row r="12" spans="1:10" x14ac:dyDescent="0.3">
      <c r="A12" s="6">
        <f t="shared" si="0"/>
        <v>100</v>
      </c>
      <c r="B12" s="1">
        <v>4</v>
      </c>
      <c r="C12" s="1">
        <v>6.6</v>
      </c>
      <c r="D12" s="1">
        <f t="shared" si="1"/>
        <v>4.7999999999999989</v>
      </c>
    </row>
    <row r="13" spans="1:10" x14ac:dyDescent="0.3">
      <c r="A13" s="6">
        <f t="shared" si="0"/>
        <v>110</v>
      </c>
      <c r="B13" s="1">
        <v>4</v>
      </c>
      <c r="C13" s="1">
        <v>7.4</v>
      </c>
      <c r="D13" s="1">
        <f t="shared" si="1"/>
        <v>4.8000000000000043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length and diameter</vt:lpstr>
      <vt:lpstr>porosity</vt:lpstr>
      <vt:lpstr>AL1 absolute perm @40</vt:lpstr>
      <vt:lpstr>AL 1 relative permeability @40</vt:lpstr>
      <vt:lpstr>AL 1 brine injection3rd</vt:lpstr>
      <vt:lpstr>AL 2 absolute perm@60</vt:lpstr>
      <vt:lpstr>AL2 relative perm @60</vt:lpstr>
      <vt:lpstr>AL2 brine injection</vt:lpstr>
      <vt:lpstr>AL3 Absolute perm @80</vt:lpstr>
      <vt:lpstr>AL3 relative perm @80</vt:lpstr>
      <vt:lpstr>AL3 brine injection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Huawei</cp:lastModifiedBy>
  <dcterms:created xsi:type="dcterms:W3CDTF">2015-06-05T18:17:20Z</dcterms:created>
  <dcterms:modified xsi:type="dcterms:W3CDTF">2021-02-02T23:39:53Z</dcterms:modified>
</cp:coreProperties>
</file>